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png" ContentType="image/png"/>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drawings/drawing4.xml" ContentType="application/vnd.openxmlformats-officedocument.drawing+xml"/>
  <Override PartName="/xl/worksheets/sheet4.xml" ContentType="application/vnd.openxmlformats-officedocument.spreadsheetml.worksheet+xml"/>
  <Override PartName="/xl/drawings/drawing5.xml" ContentType="application/vnd.openxmlformats-officedocument.drawing+xml"/>
  <Override PartName="/xl/worksheets/sheet5.xml" ContentType="application/vnd.openxmlformats-officedocument.spreadsheetml.worksheet+xml"/>
  <Override PartName="/xl/drawings/drawing6.xml" ContentType="application/vnd.openxmlformats-officedocument.drawing+xml"/>
  <Override PartName="/xl/worksheets/sheet6.xml" ContentType="application/vnd.openxmlformats-officedocument.spreadsheetml.worksheet+xml"/>
  <Override PartName="/xl/drawings/drawing7.xml" ContentType="application/vnd.openxmlformats-officedocument.drawing+xml"/>
  <Override PartName="/xl/worksheets/sheet7.xml" ContentType="application/vnd.openxmlformats-officedocument.spreadsheetml.worksheet+xml"/>
  <Override PartName="/xl/drawings/drawing8.xml" ContentType="application/vnd.openxmlformats-officedocument.drawing+xml"/>
  <Override PartName="/xl/worksheets/sheet8.xml" ContentType="application/vnd.openxmlformats-officedocument.spreadsheetml.worksheet+xml"/>
  <Override PartName="/xl/drawings/drawing9.xml" ContentType="application/vnd.openxmlformats-officedocument.drawing+xml"/>
  <Override PartName="/xl/worksheets/sheet9.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eberj\Desktop\Excel\"/>
    </mc:Choice>
  </mc:AlternateContent>
  <bookViews>
    <workbookView xWindow="0" yWindow="0" windowWidth="28800" windowHeight="12300" tabRatio="870" firstSheet="1" activeTab="1"/>
  </bookViews>
  <sheets>
    <sheet name="Description" sheetId="18" r:id="rId2"/>
    <sheet name="1 - Summary" sheetId="16" r:id="rId3"/>
    <sheet name=" 2 - Sources &amp; Uses" sheetId="9" r:id="rId4"/>
    <sheet name="3 - Early Warning" sheetId="1" r:id="rId5"/>
    <sheet name="4 - Capacity" sheetId="11" r:id="rId6"/>
    <sheet name="5 - Concentration" sheetId="13" r:id="rId7"/>
    <sheet name="6 - Funding Gaps" sheetId="12" r:id="rId8"/>
    <sheet name="Stress Scenarios" sheetId="19" r:id="rId9"/>
    <sheet name="Liquidity Stress Test" sheetId="17" r:id="rId10"/>
  </sheets>
  <definedNames>
    <definedName name="\0" localSheetId="1">#REF!</definedName>
    <definedName name="\0" localSheetId="5">#REF!</definedName>
    <definedName name="\0" localSheetId="6">#REF!</definedName>
    <definedName name="\0" localSheetId="8">#REF!</definedName>
    <definedName name="\0">#REF!</definedName>
    <definedName name="\P" localSheetId="1">#REF!</definedName>
    <definedName name="\P" localSheetId="5">#REF!</definedName>
    <definedName name="\P" localSheetId="6">#REF!</definedName>
    <definedName name="\P" localSheetId="8">#REF!</definedName>
    <definedName name="\P">#REF!</definedName>
    <definedName name="\Q" localSheetId="1">#REF!</definedName>
    <definedName name="\Q" localSheetId="5">#REF!</definedName>
    <definedName name="\Q" localSheetId="6">#REF!</definedName>
    <definedName name="\Q" localSheetId="8">#REF!</definedName>
    <definedName name="\Q">#REF!</definedName>
    <definedName name="\R" localSheetId="1">#REF!</definedName>
    <definedName name="\R" localSheetId="5">#REF!</definedName>
    <definedName name="\R" localSheetId="6">#REF!</definedName>
    <definedName name="\R" localSheetId="8">#REF!</definedName>
    <definedName name="\R">#REF!</definedName>
    <definedName name="\T" localSheetId="1">#REF!</definedName>
    <definedName name="\T" localSheetId="5">#REF!</definedName>
    <definedName name="\T" localSheetId="6">#REF!</definedName>
    <definedName name="\T" localSheetId="8">#REF!</definedName>
    <definedName name="\T">#REF!</definedName>
    <definedName name="\U" localSheetId="1">#REF!</definedName>
    <definedName name="\U" localSheetId="5">#REF!</definedName>
    <definedName name="\U" localSheetId="6">#REF!</definedName>
    <definedName name="\U" localSheetId="8">#REF!</definedName>
    <definedName name="\U">#REF!</definedName>
    <definedName name="_PP1" localSheetId="1">#REF!</definedName>
    <definedName name="_PP1" localSheetId="5">#REF!</definedName>
    <definedName name="_PP1" localSheetId="6">#REF!</definedName>
    <definedName name="_PP1" localSheetId="8">#REF!</definedName>
    <definedName name="_PP1">#REF!</definedName>
    <definedName name="_PP2" localSheetId="1">#REF!</definedName>
    <definedName name="_PP2" localSheetId="5">#REF!</definedName>
    <definedName name="_PP2" localSheetId="6">#REF!</definedName>
    <definedName name="_PP2" localSheetId="8">#REF!</definedName>
    <definedName name="_PP2">#REF!</definedName>
    <definedName name="_PP3" localSheetId="1">#REF!</definedName>
    <definedName name="_PP3" localSheetId="5">#REF!</definedName>
    <definedName name="_PP3" localSheetId="6">#REF!</definedName>
    <definedName name="_PP3" localSheetId="8">#REF!</definedName>
    <definedName name="_PP3">#REF!</definedName>
    <definedName name="_PP4" localSheetId="1">#REF!</definedName>
    <definedName name="_PP4" localSheetId="5">#REF!</definedName>
    <definedName name="_PP4" localSheetId="6">#REF!</definedName>
    <definedName name="_PP4" localSheetId="8">#REF!</definedName>
    <definedName name="_PP4">#REF!</definedName>
    <definedName name="_PP5" localSheetId="1">#REF!</definedName>
    <definedName name="_PP5" localSheetId="5">#REF!</definedName>
    <definedName name="_PP5" localSheetId="6">#REF!</definedName>
    <definedName name="_PP5" localSheetId="8">#REF!</definedName>
    <definedName name="_PP5">#REF!</definedName>
    <definedName name="_PP6" localSheetId="1">#REF!</definedName>
    <definedName name="_PP6" localSheetId="5">#REF!</definedName>
    <definedName name="_PP6" localSheetId="6">#REF!</definedName>
    <definedName name="_PP6" localSheetId="8">#REF!</definedName>
    <definedName name="_PP6">#REF!</definedName>
    <definedName name="_PP7" localSheetId="1">#REF!</definedName>
    <definedName name="_PP7" localSheetId="5">#REF!</definedName>
    <definedName name="_PP7" localSheetId="6">#REF!</definedName>
    <definedName name="_PP7" localSheetId="8">#REF!</definedName>
    <definedName name="_PP7">#REF!</definedName>
    <definedName name="_PP8" localSheetId="1">#REF!</definedName>
    <definedName name="_PP8" localSheetId="5">#REF!</definedName>
    <definedName name="_PP8" localSheetId="6">#REF!</definedName>
    <definedName name="_PP8" localSheetId="8">#REF!</definedName>
    <definedName name="_PP8">#REF!</definedName>
    <definedName name="IPM">#REF!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 2 - Sources &amp; Uses'!$B$1:$J$66</definedName>
    <definedName name="_xlnm.Print_Area" localSheetId="1">'1 - Summary'!$B$1:$K$49</definedName>
    <definedName name="_xlnm.Print_Area" localSheetId="3">'3 - Early Warning'!$B$1:$R$78</definedName>
    <definedName name="_xlnm.Print_Area" localSheetId="4">'4 - Capacity'!$B$1:$L$49</definedName>
    <definedName name="_xlnm.Print_Area" localSheetId="5">'5 - Concentration'!$B:$J</definedName>
    <definedName name="_xlnm.Print_Area" localSheetId="6">'6 - Funding Gaps'!$B:$M</definedName>
    <definedName name="_xlnm.Print_Area" localSheetId="0">Description!$B$6:$C$28</definedName>
    <definedName name="_xlnm.Print_Area" localSheetId="8">'Liquidity Stress Test'!$B:$M</definedName>
    <definedName name="_xlnm.Print_Area" localSheetId="7">'Stress Scenarios'!$A$1:$P$46</definedName>
    <definedName name="_xlnm.Print_Titles">#N/A</definedName>
    <definedName name="PRINT1" localSheetId="1">#REF!</definedName>
    <definedName name="PRINT1" localSheetId="5">#REF!</definedName>
    <definedName name="PRINT1" localSheetId="6">#REF!</definedName>
    <definedName name="PRINT1" localSheetId="8">#REF!</definedName>
    <definedName name="PRINT1">#REF!</definedName>
    <definedName name="Savingsrate">#REF!</definedName>
    <definedName name="sQuarter">#REF!</definedName>
    <definedName name="StartCFDetail" localSheetId="1">#REF!</definedName>
    <definedName name="StartCFDetail" localSheetId="5">#REF!</definedName>
    <definedName name="StartCFDetail" localSheetId="6">#REF!</definedName>
    <definedName name="StartCFDetail" localSheetId="8">#REF!</definedName>
    <definedName name="StartCFDetail">#REF!</definedName>
    <definedName name="SUMMARY" localSheetId="1">#REF!</definedName>
    <definedName name="SUMMARY" localSheetId="5">#REF!</definedName>
    <definedName name="SUMMARY" localSheetId="6">#REF!</definedName>
    <definedName name="SUMMARY" localSheetId="8">#REF!</definedName>
    <definedName name="SUMMARY">#REF!</definedName>
    <definedName name="SUMMARYRANGE" localSheetId="1">#REF!</definedName>
    <definedName name="SUMMARYRANGE" localSheetId="5">#REF!</definedName>
    <definedName name="SUMMARYRANGE" localSheetId="6">#REF!</definedName>
    <definedName name="SUMMARYRANGE" localSheetId="8">#REF!</definedName>
    <definedName name="SUMMARYRANGE">#REF!</definedName>
    <definedName name="TEST2" localSheetId="1">#REF!</definedName>
    <definedName name="TEST2" localSheetId="5">#REF!</definedName>
    <definedName name="TEST2" localSheetId="6">#REF!</definedName>
    <definedName name="TEST2" localSheetId="8">#REF!</definedName>
    <definedName name="TEST2">#REF!</definedName>
    <definedName name="UPDATE" localSheetId="1">#REF!</definedName>
    <definedName name="UPDATE" localSheetId="5">#REF!</definedName>
    <definedName name="UPDATE" localSheetId="6">#REF!</definedName>
    <definedName name="UPDATE" localSheetId="8">#REF!</definedName>
    <definedName name="UPDATE">#REF!</definedName>
    <definedName name="xName">#REF!</definedName>
    <definedName name="xParts" localSheetId="1">#REF!</definedName>
    <definedName name="xParts" localSheetId="5">#REF!</definedName>
    <definedName name="xParts" localSheetId="6">#REF!</definedName>
    <definedName name="xParts" localSheetId="8">#REF!</definedName>
    <definedName name="xParts">#REF!</definedName>
  </definedNames>
  <calcPr calcId="162913"/>
  <extLst/>
</workbook>
</file>

<file path=xl/calcChain.xml><?xml version="1.0" encoding="utf-8"?>
<calcChain xmlns="http://schemas.openxmlformats.org/spreadsheetml/2006/main">
  <c r="B8" i="18" l="1"/>
</calcChain>
</file>

<file path=xl/sharedStrings.xml><?xml version="1.0" encoding="utf-8"?>
<sst xmlns="http://schemas.openxmlformats.org/spreadsheetml/2006/main" count="399" uniqueCount="315">
  <si>
    <t>Operational Liquidity</t>
  </si>
  <si>
    <t>Discount Window Availability</t>
  </si>
  <si>
    <t>Leverage Capital</t>
  </si>
  <si>
    <t>Tier One Risk Based Capital</t>
  </si>
  <si>
    <t>Risk Indicators</t>
  </si>
  <si>
    <t>Non Performing Loans / Gross Loans</t>
  </si>
  <si>
    <t>Non Performing Loans / Tier 1 Capital</t>
  </si>
  <si>
    <t>Loans / Deposits</t>
  </si>
  <si>
    <t>Loans / Deposits Change this quarter</t>
  </si>
  <si>
    <t>Projected Loan / Deposits (12 months)</t>
  </si>
  <si>
    <t>Level 1</t>
  </si>
  <si>
    <t>Level 2</t>
  </si>
  <si>
    <t>Level 3</t>
  </si>
  <si>
    <t>Level / Direction</t>
  </si>
  <si>
    <t>yes</t>
  </si>
  <si>
    <t>Increased Funding Needs</t>
  </si>
  <si>
    <t>NOW &amp; Savings Change this Quarter</t>
  </si>
  <si>
    <t>FHLB capacity reduced (haircut)?</t>
  </si>
  <si>
    <t>Expectation or actual Regulatory letter?</t>
  </si>
  <si>
    <t>Decrease in Funds available</t>
  </si>
  <si>
    <t>no</t>
  </si>
  <si>
    <r>
      <rPr>
        <b/>
        <i/>
        <sz val="11"/>
        <color rgb="FFFF0000"/>
        <rFont val="Arial"/>
        <family val="2"/>
      </rPr>
      <t>NOTE**</t>
    </r>
    <r>
      <rPr>
        <i/>
        <sz val="10"/>
        <color rgb="FFFF0000"/>
        <rFont val="Arial"/>
        <family val="2"/>
      </rPr>
      <t xml:space="preserve"> - It is important to establish a system of measures that are useful to your bank.  Start with a few that are meaningful based on your history and your risk profle, and build over time.  This report is an example only.  Your actual risk limits, your ratios used, and your format for design and risk grouping should be reflective of your individual characteristics.</t>
    </r>
  </si>
  <si>
    <t>Tier One Capital</t>
  </si>
  <si>
    <t>inc securities OCI risk up 300</t>
  </si>
  <si>
    <t>Policy Limit</t>
  </si>
  <si>
    <t>none</t>
  </si>
  <si>
    <t>Brokered Deposits</t>
  </si>
  <si>
    <t>Public Funds</t>
  </si>
  <si>
    <t>Operational Liquidity %</t>
  </si>
  <si>
    <t>Response</t>
  </si>
  <si>
    <t>Liquidity &amp; Funding Measures</t>
  </si>
  <si>
    <t>Brokered Deposits %</t>
  </si>
  <si>
    <t>FHLB Advances %</t>
  </si>
  <si>
    <t>Public Funds %</t>
  </si>
  <si>
    <t xml:space="preserve">  Should the stress level not be considered temporary, possible actions for achieving a non-stressed indicator will be presented.</t>
  </si>
  <si>
    <t xml:space="preserve">  At the first meeting of the Contingency Funding Committee, the stress level of the CFP will be considered and adjusted if necessary.</t>
  </si>
  <si>
    <t xml:space="preserve">  Management will activate the Contingency Funding Plan at the level deemed appropriate.  </t>
  </si>
  <si>
    <t>normal operations</t>
  </si>
  <si>
    <t>stressed operations</t>
  </si>
  <si>
    <t>focused response</t>
  </si>
  <si>
    <t xml:space="preserve">** </t>
  </si>
  <si>
    <t>These indicators are suggested guidelines.  In some instances, a large # of stressed conditions may dictate activation of the CFP</t>
  </si>
  <si>
    <t>even though no individual measure would require it.</t>
  </si>
  <si>
    <t>Brokered CDs available.?</t>
  </si>
  <si>
    <t>Current</t>
  </si>
  <si>
    <t>Cumulative Funding Gap</t>
  </si>
  <si>
    <t>Funding Gap</t>
  </si>
  <si>
    <t>Term Funding</t>
  </si>
  <si>
    <t>Wholesale Funding</t>
  </si>
  <si>
    <t>Securities vs. Wholesale Funding</t>
  </si>
  <si>
    <t>First yr</t>
  </si>
  <si>
    <t>Securities Maturity &amp; Prepay</t>
  </si>
  <si>
    <t>FFS &amp; Securities Purchased</t>
  </si>
  <si>
    <t>Securities Maturities &amp; Cash</t>
  </si>
  <si>
    <t>Securities Sold Under Repo</t>
  </si>
  <si>
    <t>Overnight Repurchase Agreements</t>
  </si>
  <si>
    <t>Total Brokered Deposits</t>
  </si>
  <si>
    <t>Fed Funds Purchased</t>
  </si>
  <si>
    <t>Other</t>
  </si>
  <si>
    <t>Total Liquidity % of Assets</t>
  </si>
  <si>
    <t>Loan Reductions</t>
  </si>
  <si>
    <t>Total Sources of Funds</t>
  </si>
  <si>
    <t>Uses of Funds</t>
  </si>
  <si>
    <t>Total Uses of Funds</t>
  </si>
  <si>
    <t>A)</t>
  </si>
  <si>
    <t>B)</t>
  </si>
  <si>
    <t>C)</t>
  </si>
  <si>
    <t>D)</t>
  </si>
  <si>
    <t>Other sources of operating liquidity</t>
  </si>
  <si>
    <t>Projected total assets</t>
  </si>
  <si>
    <t>Projected Cash Flow (B - C)</t>
  </si>
  <si>
    <t>Cashflow Coverage Ratio (B/C)</t>
  </si>
  <si>
    <t>Fed Discount Window</t>
  </si>
  <si>
    <t>E)</t>
  </si>
  <si>
    <t>F)</t>
  </si>
  <si>
    <t>Total Other Sources of Operating Liquidity</t>
  </si>
  <si>
    <t>Unpledged Investments (liquid buffer)</t>
  </si>
  <si>
    <t>Total Secondary Liquidty</t>
  </si>
  <si>
    <t>G)</t>
  </si>
  <si>
    <t>H)</t>
  </si>
  <si>
    <t>Retail Time Deposit Growth</t>
  </si>
  <si>
    <t>Borrowings Growth</t>
  </si>
  <si>
    <t>Investment Reductions</t>
  </si>
  <si>
    <t xml:space="preserve">Funding Gaps </t>
  </si>
  <si>
    <t>Wholesale Funding Gap</t>
  </si>
  <si>
    <t>Uncollateralized Lines</t>
  </si>
  <si>
    <t>Correspondent Bank A</t>
  </si>
  <si>
    <t>Correspondent Bank B</t>
  </si>
  <si>
    <t>Federal Funds Line</t>
  </si>
  <si>
    <t>Total Uncollateralized Lines</t>
  </si>
  <si>
    <t>Outstanding</t>
  </si>
  <si>
    <t>Available</t>
  </si>
  <si>
    <t>Collateralized Capacity</t>
  </si>
  <si>
    <t>U.S. Agency Collateral</t>
  </si>
  <si>
    <t>MBS Collateral</t>
  </si>
  <si>
    <t>1-4 Family 1st Lien</t>
  </si>
  <si>
    <t>Multifamily</t>
  </si>
  <si>
    <t>Collateral Balance</t>
  </si>
  <si>
    <t>Haircut</t>
  </si>
  <si>
    <t>Adjustment</t>
  </si>
  <si>
    <t>notes</t>
  </si>
  <si>
    <t>1)</t>
  </si>
  <si>
    <t>Notes:</t>
  </si>
  <si>
    <t>Municipal Securities</t>
  </si>
  <si>
    <t>Commercial Loans</t>
  </si>
  <si>
    <t>Construction Loans</t>
  </si>
  <si>
    <t>Avail % of Limit</t>
  </si>
  <si>
    <t>Total Assets</t>
  </si>
  <si>
    <t>b)</t>
  </si>
  <si>
    <t>Funding Concentrations</t>
  </si>
  <si>
    <t>% of Current</t>
  </si>
  <si>
    <t>Retail Funding</t>
  </si>
  <si>
    <t>Total Wholesale Funding</t>
  </si>
  <si>
    <t>Total Collateralized Lines</t>
  </si>
  <si>
    <t>Total Wholesale Funding %</t>
  </si>
  <si>
    <t>90 days - Min Operating Liquidity %</t>
  </si>
  <si>
    <t>90 days - Min Total Liquidity %</t>
  </si>
  <si>
    <t>Sources &amp; Uses</t>
  </si>
  <si>
    <t>180 days - Min Operating Liquidity %</t>
  </si>
  <si>
    <t>180 days - Min Total Liquidity %</t>
  </si>
  <si>
    <t>FHLB Availability</t>
  </si>
  <si>
    <t>Discount Window Availability %</t>
  </si>
  <si>
    <t>FHLB Availability %</t>
  </si>
  <si>
    <t>Operating (Primary) Liquidity</t>
  </si>
  <si>
    <t xml:space="preserve">Secondary (Contingent) Liquidity </t>
  </si>
  <si>
    <t>Response Level</t>
  </si>
  <si>
    <t>Response Level Directives</t>
  </si>
  <si>
    <t xml:space="preserve">     - less liquidity cushion needed</t>
  </si>
  <si>
    <t>Total Liquidity</t>
  </si>
  <si>
    <t>Cash Flow Projections</t>
  </si>
  <si>
    <t>Secondary (Contingent) Liquidity</t>
  </si>
  <si>
    <t>Total Retail Deposits</t>
  </si>
  <si>
    <t>FHLB Loan Collateral</t>
  </si>
  <si>
    <t>Optionality</t>
  </si>
  <si>
    <t>Change in Callable FHLB Up 300</t>
  </si>
  <si>
    <t>Sec. vs. Wholesale Funding Up 300</t>
  </si>
  <si>
    <t>Securities Collateral</t>
  </si>
  <si>
    <t>Securities Collateral Available</t>
  </si>
  <si>
    <t>Borrowing Capacity</t>
  </si>
  <si>
    <t>Wholesale Assets</t>
  </si>
  <si>
    <t>total assets</t>
  </si>
  <si>
    <t>FF Purchased &amp; Securities Sold</t>
  </si>
  <si>
    <t xml:space="preserve"> </t>
  </si>
  <si>
    <t>30 days</t>
  </si>
  <si>
    <t>90 days</t>
  </si>
  <si>
    <r>
      <t xml:space="preserve">Total Liquidity  </t>
    </r>
    <r>
      <rPr>
        <b/>
        <u val="single"/>
        <sz val="10"/>
        <rFont val="Calibri"/>
        <family val="2"/>
        <scheme val="minor"/>
      </rPr>
      <t>(G + H)</t>
    </r>
  </si>
  <si>
    <t>blue &gt;&gt;</t>
  </si>
  <si>
    <t>Other Borrowed Money</t>
  </si>
  <si>
    <t>Total Wholesale Deposits</t>
  </si>
  <si>
    <t>Wholesale Deposit Growth</t>
  </si>
  <si>
    <t>Total Borrowings</t>
  </si>
  <si>
    <t>Wholesale Deposit Reduction</t>
  </si>
  <si>
    <t>Total Liquidity %</t>
  </si>
  <si>
    <t>Other Projected Balances</t>
  </si>
  <si>
    <t>Total Loans &amp; Leases</t>
  </si>
  <si>
    <t>Total Investments</t>
  </si>
  <si>
    <t>Stress Modifiers</t>
  </si>
  <si>
    <t>Demand Deposit Balances decline by 10%</t>
  </si>
  <si>
    <t>Modified Operating Liquidity</t>
  </si>
  <si>
    <t>Modified Total Liquidity</t>
  </si>
  <si>
    <t>Scenario Modifiers</t>
  </si>
  <si>
    <t>FHLB Advances</t>
  </si>
  <si>
    <t>Min</t>
  </si>
  <si>
    <t>Max</t>
  </si>
  <si>
    <t>Board of Directors Summary Report</t>
  </si>
  <si>
    <t>required management inputs</t>
  </si>
  <si>
    <r>
      <t xml:space="preserve">blue &gt;&gt; </t>
    </r>
    <r>
      <rPr>
        <sz val="8"/>
        <rFont val="Calibri"/>
        <family val="2"/>
        <scheme val="minor"/>
      </rPr>
      <t>required management inputs</t>
    </r>
  </si>
  <si>
    <t>required management  inputs</t>
  </si>
  <si>
    <t>Institution Name:</t>
  </si>
  <si>
    <t>Date:</t>
  </si>
  <si>
    <t>Funding Gaps</t>
  </si>
  <si>
    <r>
      <t xml:space="preserve">Market value adjustment -- </t>
    </r>
    <r>
      <rPr>
        <sz val="11"/>
        <rFont val="Calibri"/>
        <family val="2"/>
        <scheme val="minor"/>
      </rPr>
      <t>The purpose of this market value adjustment is to ensure not only a conservative view of collateralized capacity, but also a realistic one as well.  Collateral value for pledging purposes is based upon market values, not par values, so one must adjust collateral accordingly so as not to over-inflate collateral capacity.  Haircut levels remain relatively static over time, but market values can fluctuate constantly.</t>
    </r>
  </si>
  <si>
    <r>
      <t xml:space="preserve">This liquidity program is designed to embrace the spirit of the 2010 FFIEC Joint Policy Statement on Liquidity and Funding.  While the individual components of sound liquidity management are all addressed, </t>
    </r>
    <r>
      <rPr>
        <b/>
        <u val="single"/>
        <sz val="12"/>
        <color theme="1"/>
        <rFont val="Times New Roman"/>
        <family val="1"/>
      </rPr>
      <t>the user should modify this program and the associated Liquidity Policy and Contingency Funding Plan (“CFP”) to address and include the unique components of your lines of business and operating practice</t>
    </r>
    <r>
      <rPr>
        <sz val="12"/>
        <color theme="1"/>
        <rFont val="Times New Roman"/>
        <family val="1"/>
      </rPr>
      <t xml:space="preserve">.  The associated policy controls the process and procedures for managing liquidity, including timing and responsibilities.  The key policy defines both operating liquidity and total liquidity, and defines the limits and measures that will be used by the bank to insure funding is available.  </t>
    </r>
    <r>
      <rPr>
        <b/>
        <u val="single"/>
        <sz val="12"/>
        <color theme="1"/>
        <rFont val="Times New Roman"/>
        <family val="1"/>
      </rPr>
      <t>We would strongly encourage the user to modify the policy to conform to those liquidity practices and measures you will actually use</t>
    </r>
    <r>
      <rPr>
        <sz val="12"/>
        <color theme="1"/>
        <rFont val="Times New Roman"/>
        <family val="1"/>
      </rPr>
      <t>.  The other components of the program are defined in policy.</t>
    </r>
  </si>
  <si>
    <r>
      <t xml:space="preserve">The </t>
    </r>
    <r>
      <rPr>
        <b/>
        <u val="single"/>
        <sz val="12"/>
        <color theme="1"/>
        <rFont val="Times New Roman"/>
        <family val="1"/>
      </rPr>
      <t>Borrowing Capacity</t>
    </r>
    <r>
      <rPr>
        <sz val="12"/>
        <color theme="1"/>
        <rFont val="Times New Roman"/>
        <family val="1"/>
      </rPr>
      <t xml:space="preserve"> report calculates the availability of your bank to borrow funds.  It includes sections for both collateralized and uncollateralized lines, and should be modified to include all available counterparties.  The exhibit also includes two modifiers to the collateral, the standard haircut by the counter-party, and a scenario specific modifier.  The policy defined liquidity cushion or liquid buffer is highlighted in </t>
    </r>
    <r>
      <rPr>
        <b/>
        <sz val="12"/>
        <color rgb="FFFF0000"/>
        <rFont val="Times New Roman"/>
        <family val="1"/>
      </rPr>
      <t>red</t>
    </r>
    <r>
      <rPr>
        <sz val="12"/>
        <color theme="1"/>
        <rFont val="Times New Roman"/>
        <family val="1"/>
      </rPr>
      <t xml:space="preserve">, and is a required component of any liquidity program.  This scenario specific adjustment will generally be the market price of the collateral, but could also be utilized for any other needed adjustments.  Consistent with the rest of the schedules, any field set as </t>
    </r>
    <r>
      <rPr>
        <b/>
        <sz val="12"/>
        <color rgb="FF0000FF"/>
        <rFont val="Times New Roman"/>
        <family val="1"/>
      </rPr>
      <t>blue</t>
    </r>
    <r>
      <rPr>
        <sz val="12"/>
        <color theme="1"/>
        <rFont val="Times New Roman"/>
        <family val="1"/>
      </rPr>
      <t xml:space="preserve"> should be entered manually.</t>
    </r>
  </si>
  <si>
    <r>
      <t xml:space="preserve">The </t>
    </r>
    <r>
      <rPr>
        <b/>
        <u val="single"/>
        <sz val="12"/>
        <color theme="1"/>
        <rFont val="Times New Roman"/>
        <family val="1"/>
      </rPr>
      <t>Funding Gaps</t>
    </r>
    <r>
      <rPr>
        <sz val="12"/>
        <color theme="1"/>
        <rFont val="Times New Roman"/>
        <family val="1"/>
      </rPr>
      <t xml:space="preserve"> report compares the timing of the various funding sources and uses to indicate potential liquidity exposures.  While the net sources and uses indicated by the net cash position establishes this funding gap as a whole, the Funding Gaps tab concentrates on term wholesale sources and wholesale uses.  In theory, retail funding sources and uses are more stable, and are available in some capacity regardless of the bank's condition.  Wholesale source availability is subject to external conditions, and should be monitored for timing exposure.  The required inputs are indicated by </t>
    </r>
    <r>
      <rPr>
        <b/>
        <sz val="12"/>
        <color rgb="FF0000FF"/>
        <rFont val="Times New Roman"/>
        <family val="1"/>
      </rPr>
      <t xml:space="preserve">blue </t>
    </r>
    <r>
      <rPr>
        <sz val="12"/>
        <color theme="1"/>
        <rFont val="Times New Roman"/>
        <family val="1"/>
      </rPr>
      <t>font.  The worksheet asks for maturities of standard wholesale categories.   Should there be other sources of funding or assets that are questionable, the chart can be expanded to include them should management choose to do so.</t>
    </r>
  </si>
  <si>
    <r>
      <t xml:space="preserve">The </t>
    </r>
    <r>
      <rPr>
        <b/>
        <u val="single"/>
        <sz val="12"/>
        <color theme="1"/>
        <rFont val="Times New Roman"/>
        <family val="1"/>
      </rPr>
      <t>Early Warning System</t>
    </r>
    <r>
      <rPr>
        <sz val="12"/>
        <color theme="1"/>
        <rFont val="Times New Roman"/>
        <family val="1"/>
      </rPr>
      <t xml:space="preserve"> (EWS) establishes levels and trends for various measures and ratios that could indicate a future loss in borrowing capacity, increase in funding needed, or decrease in funding available.  The EWS is an integral part of the CFP, and should be structured to include ratios that you understand well and are a part of your normal liquidity management process.  While much of the included EWS is linked to the earlier schedules, several ratios must be input manually, and are noted in </t>
    </r>
    <r>
      <rPr>
        <b/>
        <sz val="12"/>
        <color rgb="FF0000FF"/>
        <rFont val="Times New Roman"/>
        <family val="1"/>
      </rPr>
      <t>blue</t>
    </r>
    <r>
      <rPr>
        <sz val="12"/>
        <color theme="1"/>
        <rFont val="Times New Roman"/>
        <family val="1"/>
      </rPr>
      <t xml:space="preserve"> font.</t>
    </r>
  </si>
  <si>
    <r>
      <t xml:space="preserve">The </t>
    </r>
    <r>
      <rPr>
        <sz val="12"/>
        <color rgb="FF0000FF"/>
        <rFont val="Times New Roman"/>
        <family val="1"/>
      </rPr>
      <t>blue-colored tabs</t>
    </r>
    <r>
      <rPr>
        <sz val="12"/>
        <color theme="1"/>
        <rFont val="Times New Roman"/>
        <family val="1"/>
      </rPr>
      <t xml:space="preserve"> (ALCO Sources &amp; Uses, BOD Summary Report, ALCO Early Warning System, and CFP) are the key summary report tabs contained in this liquidity program.  They contain the most pertinent information in a concise format that enables management to conduct strategic discussions and assists management in making key decisions regarding institutional liquidity.  Whereas the ALCO Early Warning System and CFP tabs do require some degree of management inputs (indicated by cells shaded in gray with </t>
    </r>
    <r>
      <rPr>
        <b/>
        <sz val="12"/>
        <color rgb="FF0000FF"/>
        <rFont val="Times New Roman"/>
        <family val="1"/>
      </rPr>
      <t>blue</t>
    </r>
    <r>
      <rPr>
        <sz val="12"/>
        <color theme="1"/>
        <rFont val="Times New Roman"/>
        <family val="1"/>
      </rPr>
      <t xml:space="preserve"> font), they do NOT represent the primary data input tabs.  The </t>
    </r>
    <r>
      <rPr>
        <sz val="12"/>
        <color rgb="FF00CC66"/>
        <rFont val="Times New Roman"/>
        <family val="1"/>
      </rPr>
      <t>green-colored tabs</t>
    </r>
    <r>
      <rPr>
        <sz val="12"/>
        <color theme="1"/>
        <rFont val="Times New Roman"/>
        <family val="1"/>
      </rPr>
      <t xml:space="preserve"> (Borrowing Capacity, Funding Concentrations, and Funding Gaps) represent the primary data input tabs, and the data in these tabs flow through to the other spreadsheets.  Note that Borrowing Capacity, Funding Concentrations, and Funding Gaps are pure input pages that primarily populate the Sources &amp; Uses tab, but they do flow through in some capacity to the other blue-colored tabs as well.</t>
    </r>
  </si>
  <si>
    <r>
      <t xml:space="preserve">The </t>
    </r>
    <r>
      <rPr>
        <b/>
        <u val="single"/>
        <sz val="12"/>
        <color theme="1"/>
        <rFont val="Times New Roman"/>
        <family val="1"/>
      </rPr>
      <t>ALCO Sources &amp; Uses</t>
    </r>
    <r>
      <rPr>
        <sz val="12"/>
        <color theme="1"/>
        <rFont val="Times New Roman"/>
        <family val="1"/>
      </rPr>
      <t xml:space="preserve"> report is the cornerstone of a plan that exhibits liquidity best practice.  The cash flows and borrowing capacity that comprise these sources and uses are calculated in the other tabs and are linked to this schedule.  The schedule should be modified / expanded as needed to include those liquidity sources outlined in your policy that you believe are available to you, including primary or operating liquidity sources, and secondary or contingent sources.  The schedule also includes two </t>
    </r>
    <r>
      <rPr>
        <b/>
        <sz val="12"/>
        <color rgb="FF0000FF"/>
        <rFont val="Times New Roman"/>
        <family val="1"/>
      </rPr>
      <t>blue</t>
    </r>
    <r>
      <rPr>
        <sz val="12"/>
        <color theme="1"/>
        <rFont val="Times New Roman"/>
        <family val="1"/>
      </rPr>
      <t xml:space="preserve"> sections reflecting future collateral balances.  Calculation of these values would include maturities of current collateral, and addition of new collateral in the growth calculations.  Since this program does not identify specific collateral sources with their corresponding maturities, these values must be updated manually by management.  </t>
    </r>
    <r>
      <rPr>
        <b/>
        <i/>
        <sz val="12"/>
        <color theme="1"/>
        <rFont val="Times New Roman"/>
        <family val="1"/>
      </rPr>
      <t>NOTE&gt; This is the detailed version of the BOD Summary Report, that would most likely be more relevant to an ALCO</t>
    </r>
    <r>
      <rPr>
        <sz val="12"/>
        <color theme="1"/>
        <rFont val="Times New Roman"/>
        <family val="1"/>
      </rPr>
      <t>.</t>
    </r>
  </si>
  <si>
    <r>
      <t xml:space="preserve">The </t>
    </r>
    <r>
      <rPr>
        <b/>
        <u val="single"/>
        <sz val="12"/>
        <color theme="1"/>
        <rFont val="Times New Roman"/>
        <family val="1"/>
      </rPr>
      <t>Stress Scenarios</t>
    </r>
    <r>
      <rPr>
        <sz val="12"/>
        <color theme="1"/>
        <rFont val="Times New Roman"/>
        <family val="1"/>
      </rPr>
      <t xml:space="preserve"> worksheet represents the three core stress scenarios for the Contingency Funding Plan analysis.  The three stress scenarios are identified as "Scenario A", "Scenario B", and "Scenario C".  Assumed impacts to the contingency funding plan are identified and segregated by scenario, and the impacts of the stress events are reflected on the actual contingency funding plan tab based upon which stress scenario is selected.  If management determines that the percentages in each scenario require adjustment, simply override existing data in each respective cell.</t>
    </r>
  </si>
  <si>
    <t>Stress Scenario Assumptions</t>
  </si>
  <si>
    <t>&lt;INPUT ALL DOLLAR AMOUNTS IN '000s&gt;</t>
  </si>
  <si>
    <t>Core time deposits reduced by 10%</t>
  </si>
  <si>
    <t>Uncollateralized lines (i.e., Fed Funds) reduced by 25%</t>
  </si>
  <si>
    <t>Other (insert other incremental stress event(s) here)</t>
  </si>
  <si>
    <t>Demand Deposit Balances decline by 15%</t>
  </si>
  <si>
    <t>Core time deposits reduced by 20%</t>
  </si>
  <si>
    <t>Uncollateralized lines (i.e., Fed Funds) reduced by 50%</t>
  </si>
  <si>
    <t>Demand Deposit Balances decline by 20%</t>
  </si>
  <si>
    <t>Core time deposits reduced by 25%</t>
  </si>
  <si>
    <t>Uncollateralized lines (i.e., Fed Funds) reduced by 100%</t>
  </si>
  <si>
    <r>
      <t xml:space="preserve">The associated </t>
    </r>
    <r>
      <rPr>
        <b/>
        <u val="single"/>
        <sz val="12"/>
        <color theme="1"/>
        <rFont val="Times New Roman"/>
        <family val="1"/>
      </rPr>
      <t>Contingency Funding Plan (CFP)</t>
    </r>
    <r>
      <rPr>
        <sz val="12"/>
        <color theme="1"/>
        <rFont val="Times New Roman"/>
        <family val="1"/>
      </rPr>
      <t xml:space="preserve"> outlines the process the bank will use in periods of stressed liquidity.  The plan should be detailed enough to indicate a plan of action and responsible parties, without dictating timing and method.  The CFP includes examples of hypothetical liquidity stress scenarios that change the funding profile of the bank.  The stress scenarios in the plan are a mirror of the calculation from the ALCO Sources &amp; Uses tab, with modification in each time period based on the specifics of each specific stress scenario (moderate stress, severe illiquidity, and extreme illiquidity).  These modifications are in </t>
    </r>
    <r>
      <rPr>
        <b/>
        <sz val="12"/>
        <color rgb="FF0000FF"/>
        <rFont val="Times New Roman"/>
        <family val="1"/>
      </rPr>
      <t>blue</t>
    </r>
    <r>
      <rPr>
        <sz val="12"/>
        <color theme="1"/>
        <rFont val="Times New Roman"/>
        <family val="1"/>
      </rPr>
      <t xml:space="preserve"> at the bottom of the page, and are used to calculate new levels of both operating and total liquidity availability over the time horizon required.  However, do note that these blue inputs are simply being populated from the inputs on the aforementioned Stress Scenarios tab, so no new inputs by management should be made here.  Management has the ability on this document to toggle between the three stress scenarios, and depending upon the scenario selected the associated stress modifiers will be utilized from the Stress Scenarios tab.</t>
    </r>
  </si>
  <si>
    <t>(these all will be populated from the Stress Scenarios tab based upon the stress scenario selected at cell M5)</t>
  </si>
  <si>
    <t>Summary of Liquidity Management Reports</t>
  </si>
  <si>
    <t>Base Liquidity Calculations</t>
  </si>
  <si>
    <t>Projected Cash flows</t>
  </si>
  <si>
    <t>Liquidity Stress Test</t>
  </si>
  <si>
    <t>red &gt;&gt;</t>
  </si>
  <si>
    <t>policy limit inputs</t>
  </si>
  <si>
    <t>4-6 Months</t>
  </si>
  <si>
    <t>7-12 Months</t>
  </si>
  <si>
    <r>
      <t xml:space="preserve">The </t>
    </r>
    <r>
      <rPr>
        <b/>
        <u val="single"/>
        <sz val="12"/>
        <color theme="1"/>
        <rFont val="Times New Roman"/>
        <family val="1"/>
      </rPr>
      <t>BOD Summary Report</t>
    </r>
    <r>
      <rPr>
        <sz val="12"/>
        <color theme="1"/>
        <rFont val="Times New Roman"/>
        <family val="1"/>
      </rPr>
      <t xml:space="preserve"> is the compliance / summary report.  It should be structured to include all the measures the bank finds relevant, </t>
    </r>
    <r>
      <rPr>
        <u val="single"/>
        <sz val="12"/>
        <color theme="1"/>
        <rFont val="Times New Roman"/>
        <family val="1"/>
      </rPr>
      <t>including all policy limits</t>
    </r>
    <r>
      <rPr>
        <sz val="12"/>
        <color theme="1"/>
        <rFont val="Times New Roman"/>
        <family val="1"/>
      </rPr>
      <t xml:space="preserve">.  These policy limits are entered as </t>
    </r>
    <r>
      <rPr>
        <b/>
        <sz val="12"/>
        <color rgb="FFFF0000"/>
        <rFont val="Times New Roman"/>
        <family val="1"/>
      </rPr>
      <t xml:space="preserve">red </t>
    </r>
    <r>
      <rPr>
        <sz val="12"/>
        <color theme="1"/>
        <rFont val="Times New Roman"/>
        <family val="1"/>
      </rPr>
      <t>font, and flow through the compliance page.  The policy limit fields are the ONLY management inputs required on this page; all other data flows through from the input tabs.  This particular report is an abbreviated version of the more detailed Sources &amp; Uses tab and meant for use at the highest executive management level.</t>
    </r>
  </si>
  <si>
    <t>Early Warning Response</t>
  </si>
  <si>
    <t>Prior quarter:</t>
  </si>
  <si>
    <t>Current quarter:</t>
  </si>
  <si>
    <r>
      <t xml:space="preserve">BALANCES SHOULD BE ENTERED AS </t>
    </r>
    <r>
      <rPr>
        <b/>
        <u val="single"/>
        <sz val="11"/>
        <color rgb="FFC00000"/>
        <rFont val="Calibri"/>
        <family val="2"/>
        <scheme val="minor"/>
      </rPr>
      <t xml:space="preserve">NEGATIVE </t>
    </r>
    <r>
      <rPr>
        <b/>
        <sz val="11"/>
        <color rgb="FFC00000"/>
        <rFont val="Calibri"/>
        <family val="2"/>
        <scheme val="minor"/>
      </rPr>
      <t>TO FLOW THROUGH TO THE LIQUIDITY STRESS TEST AS A STRESS MODIFIER!!!</t>
    </r>
  </si>
  <si>
    <t>Brokered CDs cannot be renewed</t>
  </si>
  <si>
    <t>This worksheet represents the three core stress scenarios for the Contingency Funding Plan (CFP) analysis.  The three stress scenarios are identified as "Scenario A", "Scenario B", and "Scenario C".  Hypothetical impacts on the liquidity position are identified below, segregated by scenario.  The listed effects of the stress events  are reflected on the actual "Liquidity Stress Test" tab based upon which stress scenario is selected.  The values listed are examples only.  The descriptive uses a percentage, which does not necessarily tie to the $$ impact used in the stress model.  Your stress events should reflect assumptions relelvent to your bank, and $ values representive of your stress event.</t>
  </si>
  <si>
    <t>Risk Elevated?</t>
  </si>
  <si>
    <t>Net Cash Position</t>
  </si>
  <si>
    <t>**</t>
  </si>
  <si>
    <t>** fhlb availability based on loan collateral</t>
  </si>
  <si>
    <t>FHLB Loan collateral haircuts are increased by 25%.</t>
  </si>
  <si>
    <t>Non-Interest Bearing Deposits</t>
  </si>
  <si>
    <t>Total NOW &amp; Savings</t>
  </si>
  <si>
    <t>Total MMDA</t>
  </si>
  <si>
    <t>Total Retail Jumbo</t>
  </si>
  <si>
    <t>Total IRA Deposits</t>
  </si>
  <si>
    <t>Total FFS &amp; Securities Purchased</t>
  </si>
  <si>
    <t>Total Retail Time Deposits</t>
  </si>
  <si>
    <t>Total Fixed &amp; Other Assets</t>
  </si>
  <si>
    <t>Total Equity</t>
  </si>
  <si>
    <t>Other Asset Reductions</t>
  </si>
  <si>
    <t>Other Asset Increase</t>
  </si>
  <si>
    <t>Total Other Liabilites</t>
  </si>
  <si>
    <t>Total Other Liabilites and Equity</t>
  </si>
  <si>
    <t>Ending Cash Position</t>
  </si>
  <si>
    <t>Beginning Cash Position</t>
  </si>
  <si>
    <t>I)</t>
  </si>
  <si>
    <t>Cumulative Cashflow Coverage</t>
  </si>
  <si>
    <r>
      <t xml:space="preserve">Total Operating Liquidity   </t>
    </r>
    <r>
      <rPr>
        <b/>
        <u val="single"/>
        <sz val="11"/>
        <rFont val="Calibri"/>
        <family val="2"/>
        <scheme val="minor"/>
      </rPr>
      <t>(E + G)</t>
    </r>
  </si>
  <si>
    <r>
      <t xml:space="preserve">Total Liquidity  </t>
    </r>
    <r>
      <rPr>
        <b/>
        <u val="single"/>
        <sz val="10"/>
        <rFont val="Calibri"/>
        <family val="2"/>
        <scheme val="minor"/>
      </rPr>
      <t>(H + I)</t>
    </r>
  </si>
  <si>
    <t>Sources of Funds</t>
  </si>
  <si>
    <t>Cumulative</t>
  </si>
  <si>
    <t>Cash on Hand</t>
  </si>
  <si>
    <t>check</t>
  </si>
  <si>
    <t>Total Liabilities &amp; Owners Equity</t>
  </si>
  <si>
    <t>Total Public Funds Deposits</t>
  </si>
  <si>
    <t>Change in Securities Up 300</t>
  </si>
  <si>
    <t>Non Interest Bearing Deposit Growth</t>
  </si>
  <si>
    <t>Now &amp; Savings Growth</t>
  </si>
  <si>
    <t>MMDA Growth</t>
  </si>
  <si>
    <t>Other Liability and Equity Growth</t>
  </si>
  <si>
    <t>Loan Growth/Funded Commitments</t>
  </si>
  <si>
    <t>Investment Maturities Purchased</t>
  </si>
  <si>
    <t>Non Interest Bearing Deposit Reduction</t>
  </si>
  <si>
    <t>Now &amp; Savings Reduction</t>
  </si>
  <si>
    <t>MMDA Reduction</t>
  </si>
  <si>
    <t>Retail Time Deposit Reduction</t>
  </si>
  <si>
    <t>Borrowings Reduction</t>
  </si>
  <si>
    <t>Other Liability and Equity Reduction</t>
  </si>
  <si>
    <t>Unsecured Funding Available</t>
  </si>
  <si>
    <t xml:space="preserve">FHLB Availability Per Policy </t>
  </si>
  <si>
    <t>Liquid Buffer Available (deducted above)</t>
  </si>
  <si>
    <t>Brokered CD Available (per policy)</t>
  </si>
  <si>
    <t>Loan Collateral Available @ FHLB Over Policy</t>
  </si>
  <si>
    <t>Projected Cash flows - Cumulative</t>
  </si>
  <si>
    <t>Cumulative Cash Flow Projections % of Assets</t>
  </si>
  <si>
    <t>Cash Flow Projections % of Assets</t>
  </si>
  <si>
    <t>Funding Gap % of Assets</t>
  </si>
  <si>
    <t>Wholesale Funding Gap - Cumulative</t>
  </si>
  <si>
    <t>Funding Gap % of Assets - Cumulative</t>
  </si>
  <si>
    <t>Total Borrowing Capacity</t>
  </si>
  <si>
    <t>Total Borrowing Capacity % of Assets</t>
  </si>
  <si>
    <t>maintained for liquidity cushion</t>
  </si>
  <si>
    <t>Operating Liquidity % of Assets</t>
  </si>
  <si>
    <t>Total Borrowing Capacity Availability</t>
  </si>
  <si>
    <t>Total Borrowing Capacity Availability %</t>
  </si>
  <si>
    <t xml:space="preserve">  Management will report to the ALCO the nature and reasons for the stress, and whether the condition should be considered temporary.</t>
  </si>
  <si>
    <r>
      <t xml:space="preserve">The </t>
    </r>
    <r>
      <rPr>
        <b/>
        <u val="single"/>
        <sz val="12"/>
        <color theme="1"/>
        <rFont val="Times New Roman"/>
        <family val="1"/>
      </rPr>
      <t>Funding Concentrations</t>
    </r>
    <r>
      <rPr>
        <sz val="12"/>
        <color theme="1"/>
        <rFont val="Times New Roman"/>
        <family val="1"/>
      </rPr>
      <t xml:space="preserve"> report calculates the sources of funding over the same time periods presented in the ALCO Sources &amp; Uses report, as compared to institution-specific policy limits.  Since the concentration of funding is closely related to the borrowing capacity, these two schedules (Funding Concentrations and Borrowing Capacity) should be consistent in structure and definition.  Future concentration fields are </t>
    </r>
    <r>
      <rPr>
        <b/>
        <sz val="12"/>
        <color rgb="FF0000FF"/>
        <rFont val="Times New Roman"/>
        <family val="1"/>
      </rPr>
      <t>blue</t>
    </r>
    <r>
      <rPr>
        <sz val="12"/>
        <color theme="1"/>
        <rFont val="Times New Roman"/>
        <family val="1"/>
      </rPr>
      <t>, indicating they should be updated based on forecasted growth.</t>
    </r>
  </si>
  <si>
    <t>PVOL+300bps=</t>
  </si>
  <si>
    <t>Sample Bank</t>
  </si>
  <si>
    <t>Savings, Now and MMDA decrease by 10%</t>
  </si>
  <si>
    <t>Loan to Deposits</t>
  </si>
  <si>
    <t>Liquid Assets</t>
  </si>
  <si>
    <t>Liquid Assets % of Assets</t>
  </si>
  <si>
    <t>Brokered CD availability reduced by 100%</t>
  </si>
  <si>
    <t>Jumbo CDs and public funds mature and do not renew at a rate of 25%</t>
  </si>
  <si>
    <t>Jumbo CDs and public funds mature and do not renew at a rate of 50%</t>
  </si>
  <si>
    <t>'Stress Scenarios'!A36:O46</t>
  </si>
  <si>
    <t>Securities liquidity reduced to +300bps levels.</t>
  </si>
  <si>
    <t>Securities liquidity  &amp; securities collateral reduced to +300bps levels.</t>
  </si>
  <si>
    <t>Repurchase Line</t>
  </si>
  <si>
    <t>Securities Availability</t>
  </si>
  <si>
    <t>Securities Availability %</t>
  </si>
  <si>
    <t>Capital at Risk (reduced borrowing capacity)</t>
  </si>
  <si>
    <t>Capital Ratios</t>
  </si>
  <si>
    <t>Unexpected funding of off-balance sheet items, deposit run off, unsecured funding reduced</t>
  </si>
  <si>
    <t>Capital downgrade, major economic event, financial crisis, no access to unsecured funding</t>
  </si>
  <si>
    <t>Discount Window &amp; Other haircuts are increased by 25%</t>
  </si>
  <si>
    <t>'Stress Scenarios'!A10:O20</t>
  </si>
  <si>
    <t>'Stress Scenarios'!A23:O33</t>
  </si>
  <si>
    <t>Target Level</t>
  </si>
  <si>
    <t>Total</t>
  </si>
  <si>
    <t xml:space="preserve">  Management will present specific action plans to reduce stress, including responsible parties and expected time tables to the ALCO.</t>
  </si>
  <si>
    <t>policy limit inputs or target levels</t>
  </si>
  <si>
    <t>Policy Limits or Target Levels</t>
  </si>
  <si>
    <t>Funding Concentration</t>
  </si>
  <si>
    <t>Liquid Assets %</t>
  </si>
  <si>
    <t>Early Warning</t>
  </si>
  <si>
    <t>Federal Home Loan Bank</t>
  </si>
  <si>
    <r>
      <t xml:space="preserve">Total Borrowing Capacity </t>
    </r>
    <r>
      <rPr>
        <b/>
        <u val="single"/>
        <sz val="12"/>
        <color theme="1"/>
        <rFont val="Calibri"/>
        <family val="2"/>
        <scheme val="minor"/>
      </rPr>
      <t xml:space="preserve"> (A+B)</t>
    </r>
  </si>
  <si>
    <t>Scenario A  (Moderate Stress)</t>
  </si>
  <si>
    <t>Scenario B  (Severe Stress)</t>
  </si>
  <si>
    <t xml:space="preserve"> Lower Probabilty, Higher Impact</t>
  </si>
  <si>
    <t xml:space="preserve"> High Probability, Low Impact</t>
  </si>
  <si>
    <t>Scenario C  (Extreme Stress)</t>
  </si>
  <si>
    <t xml:space="preserve">  Low Probability, High Impact</t>
  </si>
  <si>
    <t>Scenario A  (Moderate Stress)  High Probability, Low Impact</t>
  </si>
  <si>
    <t>Input</t>
  </si>
  <si>
    <t>Input %</t>
  </si>
  <si>
    <t>Unfunded commitments fund at a 25%</t>
  </si>
  <si>
    <t>Unfunded commitments fund at a 50%</t>
  </si>
  <si>
    <t xml:space="preserve">Unfunded commitments fund at a 75% </t>
  </si>
  <si>
    <t>Source:  Call Report Schedule RC-L - Off Balance Sheet Items</t>
  </si>
  <si>
    <t>Memphis,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</si>
</sst>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_(* #,##0.0_);_(* \(#,##0.0\);_(* &quot;-&quot;??_);_(@_)"/>
  </numFmts>
  <fonts count="82">
    <font>
      <sz val="11"/>
      <color theme="1"/>
      <name val="Calibri"/>
      <family val="2"/>
      <scheme val="minor"/>
    </font>
    <font>
      <sz val="10"/>
      <color theme="1"/>
      <name val="Arial"/>
      <family val="2"/>
    </font>
    <font>
      <sz val="12"/>
      <color theme="1"/>
      <name val="Arial"/>
      <family val="2"/>
    </font>
    <font>
      <sz val="11"/>
      <color theme="1"/>
      <name val="Arial"/>
      <family val="2"/>
    </font>
    <font>
      <b/>
      <sz val="12"/>
      <color theme="1"/>
      <name val="Arial"/>
      <family val="2"/>
    </font>
    <font>
      <sz val="8"/>
      <color theme="1"/>
      <name val="Arial"/>
      <family val="2"/>
    </font>
    <font>
      <b/>
      <sz val="10"/>
      <color theme="1"/>
      <name val="Arial"/>
      <family val="2"/>
    </font>
    <font>
      <sz val="12"/>
      <color rgb="FFFF0000"/>
      <name val="Arial"/>
      <family val="2"/>
    </font>
    <font>
      <sz val="10"/>
      <color rgb="FFFF0000"/>
      <name val="Arial"/>
      <family val="2"/>
    </font>
    <font>
      <sz val="9"/>
      <color rgb="FFFF0000"/>
      <name val="Arial"/>
      <family val="2"/>
    </font>
    <font>
      <i/>
      <sz val="10"/>
      <color rgb="FFFF0000"/>
      <name val="Arial"/>
      <family val="2"/>
    </font>
    <font>
      <b/>
      <i/>
      <sz val="11"/>
      <color rgb="FFFF0000"/>
      <name val="Arial"/>
      <family val="2"/>
    </font>
    <font>
      <sz val="8"/>
      <color theme="0"/>
      <name val="Arial"/>
      <family val="2"/>
    </font>
    <font>
      <sz val="14"/>
      <color theme="1"/>
      <name val="Arial"/>
      <family val="2"/>
    </font>
    <font>
      <sz val="11"/>
      <color theme="0" tint="-0.4999699890613556"/>
      <name val="Arial"/>
      <family val="2"/>
    </font>
    <font>
      <sz val="10"/>
      <name val="Arial"/>
      <family val="2"/>
    </font>
    <font>
      <b/>
      <sz val="11"/>
      <color theme="1"/>
      <name val="Calibri"/>
      <family val="2"/>
      <scheme val="minor"/>
    </font>
    <font>
      <b/>
      <sz val="10"/>
      <color rgb="FFFF0000"/>
      <name val="Wingdings 3"/>
      <family val="1"/>
      <charset val="2"/>
    </font>
    <font>
      <b/>
      <u val="single"/>
      <sz val="14"/>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sz val="11"/>
      <name val="Calibri"/>
      <family val="2"/>
      <scheme val="minor"/>
    </font>
    <font>
      <b/>
      <sz val="10"/>
      <color theme="1"/>
      <name val="Calibri"/>
      <family val="2"/>
      <scheme val="minor"/>
    </font>
    <font>
      <sz val="10"/>
      <color theme="1"/>
      <name val="Calibri"/>
      <family val="2"/>
      <scheme val="minor"/>
    </font>
    <font>
      <b/>
      <sz val="9"/>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b/>
      <sz val="16"/>
      <color theme="1"/>
      <name val="Calibri"/>
      <family val="2"/>
      <scheme val="minor"/>
    </font>
    <font>
      <b/>
      <i/>
      <sz val="10"/>
      <name val="Calibri"/>
      <family val="2"/>
      <scheme val="minor"/>
    </font>
    <font>
      <sz val="10"/>
      <name val="Calibri"/>
      <family val="2"/>
      <scheme val="minor"/>
    </font>
    <font>
      <b/>
      <sz val="10"/>
      <name val="Calibri"/>
      <family val="2"/>
      <scheme val="minor"/>
    </font>
    <font>
      <b/>
      <i/>
      <sz val="14"/>
      <name val="Calibri"/>
      <family val="2"/>
      <scheme val="minor"/>
    </font>
    <font>
      <sz val="9"/>
      <name val="Calibri"/>
      <family val="2"/>
      <scheme val="minor"/>
    </font>
    <font>
      <b/>
      <sz val="9"/>
      <name val="Calibri"/>
      <family val="2"/>
      <scheme val="minor"/>
    </font>
    <font>
      <sz val="11"/>
      <color rgb="FF0070C0"/>
      <name val="Calibri"/>
      <family val="2"/>
      <scheme val="minor"/>
    </font>
    <font>
      <sz val="8"/>
      <color rgb="FFFF0000"/>
      <name val="Calibri"/>
      <family val="2"/>
      <scheme val="minor"/>
    </font>
    <font>
      <b/>
      <sz val="8"/>
      <color rgb="FFFF0000"/>
      <name val="Calibri"/>
      <family val="2"/>
      <scheme val="minor"/>
    </font>
    <font>
      <sz val="11"/>
      <color theme="0" tint="-0.4999699890613556"/>
      <name val="Calibri"/>
      <family val="2"/>
      <scheme val="minor"/>
    </font>
    <font>
      <sz val="14"/>
      <color theme="1"/>
      <name val="Calibri"/>
      <family val="2"/>
      <scheme val="minor"/>
    </font>
    <font>
      <b/>
      <u val="single"/>
      <sz val="14"/>
      <name val="Calibri"/>
      <family val="2"/>
      <scheme val="minor"/>
    </font>
    <font>
      <b/>
      <u val="single"/>
      <sz val="1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2"/>
      <name val="Calibri"/>
      <family val="2"/>
      <scheme val="minor"/>
    </font>
    <font>
      <b/>
      <sz val="11"/>
      <color theme="0" tint="-0.4999699890613556"/>
      <name val="Calibri"/>
      <family val="2"/>
      <scheme val="minor"/>
    </font>
    <font>
      <sz val="11"/>
      <color rgb="FF0000FF"/>
      <name val="Calibri"/>
      <family val="2"/>
      <scheme val="minor"/>
    </font>
    <font>
      <b/>
      <sz val="12"/>
      <name val="Calibri"/>
      <family val="2"/>
      <scheme val="minor"/>
    </font>
    <font>
      <sz val="8"/>
      <name val="Calibri"/>
      <family val="2"/>
      <scheme val="minor"/>
    </font>
    <font>
      <b/>
      <u val="single"/>
      <sz val="10"/>
      <name val="Calibri"/>
      <family val="2"/>
      <scheme val="minor"/>
    </font>
    <font>
      <b/>
      <sz val="8"/>
      <color rgb="FF0000FF"/>
      <name val="Calibri"/>
      <family val="2"/>
      <scheme val="minor"/>
    </font>
    <font>
      <sz val="10"/>
      <color rgb="FF0000FF"/>
      <name val="Arial"/>
      <family val="2"/>
    </font>
    <font>
      <b/>
      <sz val="10"/>
      <color rgb="FF0000FF"/>
      <name val="Arial"/>
      <family val="2"/>
    </font>
    <font>
      <b/>
      <sz val="11"/>
      <color rgb="FF0000FF"/>
      <name val="Calibri"/>
      <family val="2"/>
      <scheme val="minor"/>
    </font>
    <font>
      <sz val="11"/>
      <color theme="6" tint="-0.4999699890613556"/>
      <name val="Calibri"/>
      <family val="2"/>
      <scheme val="minor"/>
    </font>
    <font>
      <b/>
      <sz val="11"/>
      <color theme="6" tint="-0.4999699890613556"/>
      <name val="Calibri"/>
      <family val="2"/>
      <scheme val="minor"/>
    </font>
    <font>
      <sz val="12"/>
      <color theme="1"/>
      <name val="Times New Roman"/>
      <family val="1"/>
    </font>
    <font>
      <b/>
      <sz val="12"/>
      <color rgb="FFFF0000"/>
      <name val="Times New Roman"/>
      <family val="1"/>
    </font>
    <font>
      <b/>
      <sz val="12"/>
      <color rgb="FF0000FF"/>
      <name val="Times New Roman"/>
      <family val="1"/>
    </font>
    <font>
      <b/>
      <u val="single"/>
      <sz val="12"/>
      <color theme="1"/>
      <name val="Times New Roman"/>
      <family val="1"/>
    </font>
    <font>
      <u val="single"/>
      <sz val="12"/>
      <color theme="1"/>
      <name val="Times New Roman"/>
      <family val="1"/>
    </font>
    <font>
      <b/>
      <i/>
      <sz val="12"/>
      <color theme="1"/>
      <name val="Times New Roman"/>
      <family val="1"/>
    </font>
    <font>
      <sz val="12"/>
      <color rgb="FF0000FF"/>
      <name val="Times New Roman"/>
      <family val="1"/>
    </font>
    <font>
      <sz val="12"/>
      <color rgb="FF00CC66"/>
      <name val="Times New Roman"/>
      <family val="1"/>
    </font>
    <font>
      <b/>
      <u val="singleAccounting"/>
      <sz val="11"/>
      <color theme="1"/>
      <name val="Calibri"/>
      <family val="2"/>
      <scheme val="minor"/>
    </font>
    <font>
      <b/>
      <sz val="10"/>
      <color rgb="FFFF0000"/>
      <name val="Arial"/>
      <family val="2"/>
    </font>
    <font>
      <b/>
      <sz val="11"/>
      <color rgb="FFC00000"/>
      <name val="Calibri"/>
      <family val="2"/>
      <scheme val="minor"/>
    </font>
    <font>
      <b/>
      <u val="single"/>
      <sz val="11"/>
      <color rgb="FFC00000"/>
      <name val="Calibri"/>
      <family val="2"/>
      <scheme val="minor"/>
    </font>
    <font>
      <b/>
      <sz val="12"/>
      <color rgb="FFFF0000"/>
      <name val="Calibri"/>
      <family val="2"/>
      <scheme val="minor"/>
    </font>
    <font>
      <sz val="8"/>
      <name val="Arial"/>
      <family val="2"/>
    </font>
    <font>
      <b/>
      <sz val="10"/>
      <name val="Arial"/>
      <family val="2"/>
    </font>
    <font>
      <sz val="10"/>
      <color indexed="10"/>
      <name val="Arial"/>
      <family val="2"/>
    </font>
    <font>
      <b/>
      <sz val="18"/>
      <name val="Calibri"/>
      <family val="2"/>
      <scheme val="minor"/>
    </font>
    <font>
      <i/>
      <sz val="11"/>
      <color theme="1"/>
      <name val="Calibri"/>
      <family val="2"/>
      <scheme val="minor"/>
    </font>
    <font>
      <b/>
      <u val="single"/>
      <sz val="11"/>
      <color rgb="FFFF0000"/>
      <name val="Calibri"/>
      <family val="2"/>
      <scheme val="minor"/>
    </font>
    <font>
      <i/>
      <u val="single"/>
      <sz val="11"/>
      <color theme="1"/>
      <name val="Calibri"/>
      <family val="2"/>
      <scheme val="minor"/>
    </font>
    <font>
      <b/>
      <sz val="16"/>
      <color theme="0"/>
      <name val="Calibri"/>
      <family val="2"/>
      <scheme val="minor"/>
    </font>
    <font>
      <b/>
      <sz val="12"/>
      <color theme="0"/>
      <name val="Calibri"/>
      <family val="2"/>
      <scheme val="minor"/>
    </font>
    <font>
      <b/>
      <u val="single"/>
      <sz val="12"/>
      <color theme="1"/>
      <name val="Calibri"/>
      <family val="2"/>
      <scheme val="minor"/>
    </font>
    <font>
      <b/>
      <u val="single"/>
      <sz val="11"/>
      <color rgb="FF0000FF"/>
      <name val="Calibri"/>
      <family val="2"/>
      <scheme val="minor"/>
    </font>
  </fonts>
  <fills count="11">
    <fill>
      <patternFill patternType="none"/>
    </fill>
    <fill>
      <patternFill patternType="gray125"/>
    </fill>
    <fill>
      <patternFill patternType="solid">
        <fgColor theme="0" tint="-0.04997999966144562"/>
        <bgColor indexed="64"/>
      </patternFill>
    </fill>
    <fill>
      <patternFill patternType="solid">
        <fgColor rgb="FFFBFED0"/>
        <bgColor indexed="64"/>
      </patternFill>
    </fill>
    <fill>
      <patternFill patternType="solid">
        <fgColor theme="0" tint="-0.24997000396251678"/>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bgColor indexed="64"/>
      </patternFill>
    </fill>
    <fill>
      <patternFill patternType="solid">
        <fgColor rgb="FF002266"/>
        <bgColor indexed="64"/>
      </patternFill>
    </fill>
    <fill>
      <patternFill patternType="solid">
        <fgColor rgb="FF001866"/>
        <bgColor indexed="64"/>
      </patternFill>
    </fill>
  </fills>
  <borders count="30">
    <border>
      <left/>
      <right/>
      <top/>
      <bottom/>
      <diagonal/>
    </border>
    <border>
      <left style="thin">
        <color auto="1"/>
      </left>
      <right style="thin">
        <color auto="1"/>
      </right>
      <top style="thin">
        <color auto="1"/>
      </top>
      <bottom style="thin">
        <color auto="1"/>
      </bottom>
    </border>
    <border>
      <left style="thin">
        <color auto="1"/>
      </left>
      <right/>
      <top style="thin">
        <color auto="1"/>
      </top>
      <bottom style="thin">
        <color auto="1"/>
      </bottom>
    </border>
    <border>
      <left/>
      <right/>
      <top style="thin">
        <color auto="1"/>
      </top>
      <bottom style="thin">
        <color auto="1"/>
      </bottom>
    </border>
    <border>
      <left style="thin">
        <color auto="1"/>
      </left>
      <right/>
      <top style="thin">
        <color auto="1"/>
      </top>
      <bottom/>
    </border>
    <border>
      <left/>
      <right style="thin">
        <color auto="1"/>
      </right>
      <top style="thin">
        <color auto="1"/>
      </top>
      <bottom/>
    </border>
    <border>
      <left style="thin">
        <color auto="1"/>
      </left>
      <right/>
      <top/>
      <bottom/>
    </border>
    <border>
      <left/>
      <right style="thin">
        <color auto="1"/>
      </right>
      <top/>
      <bottom/>
    </border>
    <border>
      <left/>
      <right style="thin">
        <color auto="1"/>
      </right>
      <top/>
      <bottom style="medium">
        <color auto="1"/>
      </bottom>
    </border>
    <border>
      <left/>
      <right/>
      <top style="thin">
        <color auto="1"/>
      </top>
      <bottom/>
    </border>
    <border>
      <left style="thin">
        <color auto="1"/>
      </left>
      <right/>
      <top/>
      <bottom style="thin">
        <color auto="1"/>
      </bottom>
    </border>
    <border>
      <left/>
      <right style="thin">
        <color auto="1"/>
      </right>
      <top style="thin">
        <color auto="1"/>
      </top>
      <bottom style="thin">
        <color auto="1"/>
      </bottom>
    </border>
    <border>
      <left/>
      <right/>
      <top/>
      <bottom style="thin">
        <color auto="1"/>
      </bottom>
    </border>
    <border>
      <left/>
      <right style="thin">
        <color auto="1"/>
      </right>
      <top/>
      <bottom style="thin">
        <color auto="1"/>
      </bottom>
    </border>
    <border>
      <left style="thin">
        <color auto="1"/>
      </left>
      <right/>
      <top/>
      <bottom style="medium">
        <color auto="1"/>
      </bottom>
    </border>
    <border>
      <left/>
      <right/>
      <top/>
      <bottom style="medium">
        <color auto="1"/>
      </bottom>
    </border>
    <border>
      <left style="medium">
        <color auto="1"/>
      </left>
      <right style="medium">
        <color auto="1"/>
      </right>
      <top style="medium">
        <color auto="1"/>
      </top>
      <bottom style="medium">
        <color auto="1"/>
      </bottom>
    </border>
    <border>
      <left style="thin">
        <color auto="1"/>
      </left>
      <right style="thin">
        <color auto="1"/>
      </right>
      <top/>
      <bottom/>
    </border>
    <border>
      <left style="thin">
        <color auto="1"/>
      </left>
      <right style="thin">
        <color auto="1"/>
      </right>
      <top/>
      <bottom style="thin">
        <color auto="1"/>
      </bottom>
    </border>
    <border>
      <left/>
      <right/>
      <top/>
      <bottom style="double">
        <color auto="1"/>
      </bottom>
    </border>
    <border>
      <left style="medium">
        <color auto="1"/>
      </left>
      <right/>
      <top style="medium">
        <color auto="1"/>
      </top>
      <bottom/>
    </border>
    <border>
      <left/>
      <right style="medium">
        <color auto="1"/>
      </right>
      <top style="medium">
        <color auto="1"/>
      </top>
      <bottom/>
    </border>
    <border>
      <left style="medium">
        <color auto="1"/>
      </left>
      <right/>
      <top/>
      <bottom/>
    </border>
    <border>
      <left/>
      <right style="medium">
        <color auto="1"/>
      </right>
      <top/>
      <bottom/>
    </border>
    <border>
      <left style="medium">
        <color auto="1"/>
      </left>
      <right/>
      <top/>
      <bottom style="medium">
        <color auto="1"/>
      </bottom>
    </border>
    <border>
      <left/>
      <right style="medium">
        <color auto="1"/>
      </right>
      <top/>
      <bottom style="medium">
        <color auto="1"/>
      </bottom>
    </border>
    <border>
      <left/>
      <right/>
      <top style="medium">
        <color auto="1"/>
      </top>
      <bottom/>
    </border>
    <border>
      <left style="medium">
        <color auto="1"/>
      </left>
      <right/>
      <top style="medium">
        <color auto="1"/>
      </top>
      <bottom style="medium">
        <color auto="1"/>
      </bottom>
    </border>
    <border>
      <left/>
      <right/>
      <top style="medium">
        <color auto="1"/>
      </top>
      <bottom style="medium">
        <color auto="1"/>
      </bottom>
    </border>
    <border>
      <left/>
      <right style="medium">
        <color auto="1"/>
      </right>
      <top style="medium">
        <color auto="1"/>
      </top>
      <bottom style="medium">
        <color auto="1"/>
      </bottom>
    </border>
  </borders>
  <cellStyleXfs count="26">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xf numFmtId="0" fontId="15" fillId="0" borderId="0">
      <alignment/>
      <protection/>
    </xf>
    <xf numFmtId="43" fontId="15" fillId="0" borderId="0" applyFont="0" applyFill="0" applyBorder="0" applyAlignment="0" applyProtection="0"/>
    <xf numFmtId="9" fontId="15" fillId="0" borderId="0" applyFont="0" applyFill="0" applyBorder="0" applyAlignment="0" applyProtection="0"/>
    <xf numFmtId="0" fontId="15" fillId="0" borderId="0">
      <alignment/>
      <protection/>
    </xf>
    <xf numFmtId="9" fontId="15" fillId="0" borderId="0" applyFont="0" applyFill="0" applyBorder="0" applyAlignment="0" applyProtection="0"/>
    <xf numFmtId="0" fontId="15" fillId="0" borderId="0">
      <alignment/>
      <protection/>
    </xf>
  </cellStyleXfs>
  <cellXfs count="532">
    <xf numFmtId="0" fontId="0" fillId="0" borderId="0" xfId="0"/>
    <xf numFmtId="0" fontId="2" fillId="0" borderId="0" xfId="0" applyFont="1"/>
    <xf numFmtId="0" fontId="3" fillId="0" borderId="0" xfId="0" applyFont="1"/>
    <xf numFmtId="0" fontId="1" fillId="0" borderId="0" xfId="0" applyFont="1"/>
    <xf numFmtId="0" fontId="4" fillId="0" borderId="0" xfId="0" applyFont="1"/>
    <xf numFmtId="0" fontId="1" fillId="0" borderId="1" xfId="0" applyFont="1" applyBorder="1" applyAlignment="1">
      <alignment horizontal="center"/>
    </xf>
    <xf numFmtId="0" fontId="3" fillId="2" borderId="0" xfId="0" applyFont="1" applyFill="1"/>
    <xf numFmtId="14" fontId="5" fillId="2" borderId="1" xfId="0" applyNumberFormat="1" applyFont="1" applyFill="1" applyBorder="1" applyAlignment="1">
      <alignment horizontal="center" vertical="center"/>
    </xf>
    <xf numFmtId="0" fontId="6" fillId="0" borderId="0" xfId="0" applyFont="1"/>
    <xf numFmtId="0" fontId="1" fillId="2" borderId="0" xfId="0" applyFont="1" applyFill="1"/>
    <xf numFmtId="0" fontId="7" fillId="0" borderId="0" xfId="0" applyFont="1"/>
    <xf numFmtId="164" fontId="9" fillId="0" borderId="0" xfId="18" applyNumberFormat="1" applyFont="1"/>
    <xf numFmtId="0" fontId="8" fillId="0" borderId="0" xfId="0" applyFont="1"/>
    <xf numFmtId="0" fontId="1" fillId="0" borderId="0" xfId="0" applyFont="1" applyBorder="1" applyAlignment="1">
      <alignment horizontal="center"/>
    </xf>
    <xf numFmtId="0" fontId="3" fillId="0" borderId="0" xfId="0" applyFont="1" applyAlignment="1">
      <alignment horizontal="center"/>
    </xf>
    <xf numFmtId="0" fontId="5" fillId="0" borderId="0" xfId="0" applyFont="1" applyAlignment="1">
      <alignment horizontal="center" textRotation="90"/>
    </xf>
    <xf numFmtId="0" fontId="1" fillId="0" borderId="0" xfId="0" applyFont="1" applyAlignment="1">
      <alignment horizontal="center"/>
    </xf>
    <xf numFmtId="0" fontId="6" fillId="0" borderId="0" xfId="0" applyFont="1" applyAlignment="1">
      <alignment horizontal="center"/>
    </xf>
    <xf numFmtId="0" fontId="12" fillId="0" borderId="0" xfId="0" applyFont="1" applyAlignment="1">
      <alignment horizontal="center" textRotation="90"/>
    </xf>
    <xf numFmtId="0" fontId="6" fillId="3" borderId="1" xfId="0" applyFont="1" applyFill="1" applyBorder="1" applyAlignment="1">
      <alignment horizontal="center"/>
    </xf>
    <xf numFmtId="0" fontId="13" fillId="0" borderId="0" xfId="0" applyFont="1"/>
    <xf numFmtId="0" fontId="13" fillId="0" borderId="0" xfId="0" applyFont="1" applyAlignment="1">
      <alignment horizontal="center"/>
    </xf>
    <xf numFmtId="0" fontId="14" fillId="0" borderId="0" xfId="0" applyFont="1"/>
    <xf numFmtId="0" fontId="16" fillId="0" borderId="0" xfId="0" applyFont="1"/>
    <xf numFmtId="0" fontId="17" fillId="0" borderId="0" xfId="0" applyFont="1"/>
    <xf numFmtId="0" fontId="3" fillId="0" borderId="0" xfId="0" applyFont="1" applyFill="1" applyAlignment="1">
      <alignment horizontal="center"/>
    </xf>
    <xf numFmtId="0" fontId="1" fillId="0" borderId="0" xfId="0" applyFont="1" applyFill="1" applyAlignment="1">
      <alignment horizontal="center"/>
    </xf>
    <xf numFmtId="0" fontId="0" fillId="0" borderId="0" xfId="0" applyAlignment="1">
      <alignment horizontal="center" wrapText="1"/>
    </xf>
    <xf numFmtId="164" fontId="0" fillId="0" borderId="0" xfId="18" applyNumberFormat="1" applyFont="1"/>
    <xf numFmtId="164" fontId="0" fillId="0" borderId="0" xfId="18" applyNumberFormat="1" applyFont="1" applyAlignment="1">
      <alignment horizontal="center" wrapText="1"/>
    </xf>
    <xf numFmtId="0" fontId="18" fillId="0" borderId="0" xfId="0" applyFont="1"/>
    <xf numFmtId="0" fontId="19" fillId="0" borderId="0" xfId="0" applyFont="1"/>
    <xf numFmtId="164" fontId="21" fillId="0" borderId="0" xfId="18" applyNumberFormat="1" applyFont="1"/>
    <xf numFmtId="0" fontId="22" fillId="0" borderId="0" xfId="0" applyFont="1"/>
    <xf numFmtId="0" fontId="21" fillId="0" borderId="0" xfId="0" applyFont="1"/>
    <xf numFmtId="0" fontId="27" fillId="0" borderId="0" xfId="0" applyFont="1" applyAlignment="1">
      <alignment horizontal="center" wrapText="1"/>
    </xf>
    <xf numFmtId="0" fontId="28" fillId="0" borderId="0" xfId="0" applyFont="1" applyAlignment="1">
      <alignment horizontal="center" wrapText="1"/>
    </xf>
    <xf numFmtId="164" fontId="28" fillId="0" borderId="0" xfId="18" applyNumberFormat="1" applyFont="1" applyAlignment="1">
      <alignment horizontal="center" wrapText="1"/>
    </xf>
    <xf numFmtId="0" fontId="29" fillId="0" borderId="0" xfId="0" applyFont="1"/>
    <xf numFmtId="0" fontId="28" fillId="0" borderId="0" xfId="0" applyFont="1"/>
    <xf numFmtId="0" fontId="17" fillId="0" borderId="0" xfId="0" applyFont="1" applyAlignment="1">
      <alignment horizontal="center"/>
    </xf>
    <xf numFmtId="10" fontId="28" fillId="0" borderId="0" xfId="15" applyNumberFormat="1" applyFont="1" applyAlignment="1">
      <alignment horizontal="center" wrapText="1"/>
    </xf>
    <xf numFmtId="10" fontId="0" fillId="0" borderId="0" xfId="15" applyNumberFormat="1" applyFont="1" applyAlignment="1">
      <alignment horizontal="center"/>
    </xf>
    <xf numFmtId="165" fontId="0" fillId="0" borderId="0" xfId="15" applyNumberFormat="1" applyFont="1" applyAlignment="1">
      <alignment/>
    </xf>
    <xf numFmtId="165" fontId="28" fillId="0" borderId="0" xfId="15" applyNumberFormat="1" applyFont="1" applyAlignment="1">
      <alignment wrapText="1"/>
    </xf>
    <xf numFmtId="0" fontId="36" fillId="0" borderId="0" xfId="0" applyFont="1"/>
    <xf numFmtId="10" fontId="37" fillId="0" borderId="0" xfId="15" applyNumberFormat="1" applyFont="1" applyAlignment="1">
      <alignment horizontal="center" wrapText="1"/>
    </xf>
    <xf numFmtId="10" fontId="19" fillId="0" borderId="0" xfId="15" applyNumberFormat="1" applyFont="1" applyAlignment="1">
      <alignment horizontal="center"/>
    </xf>
    <xf numFmtId="10" fontId="20" fillId="0" borderId="0" xfId="15" applyNumberFormat="1" applyFont="1" applyAlignment="1">
      <alignment horizontal="center"/>
    </xf>
    <xf numFmtId="0" fontId="0" fillId="0" borderId="0" xfId="0" applyAlignment="1">
      <alignment horizontal="center"/>
    </xf>
    <xf numFmtId="0" fontId="16" fillId="0" borderId="0" xfId="0" applyFont="1" applyAlignment="1">
      <alignment horizontal="center"/>
    </xf>
    <xf numFmtId="165" fontId="0" fillId="0" borderId="0" xfId="15" applyNumberFormat="1" applyFont="1" applyAlignment="1">
      <alignment horizontal="center"/>
    </xf>
    <xf numFmtId="10" fontId="16" fillId="0" borderId="0" xfId="15" applyNumberFormat="1" applyFont="1" applyAlignment="1">
      <alignment horizontal="center"/>
    </xf>
    <xf numFmtId="165" fontId="16" fillId="0" borderId="0" xfId="15" applyNumberFormat="1" applyFont="1" applyAlignment="1">
      <alignment/>
    </xf>
    <xf numFmtId="0" fontId="0" fillId="0" borderId="0" xfId="0" applyBorder="1"/>
    <xf numFmtId="165" fontId="0" fillId="0" borderId="0" xfId="0" applyNumberFormat="1" applyBorder="1" applyAlignment="1">
      <alignment/>
    </xf>
    <xf numFmtId="0" fontId="23" fillId="0" borderId="0" xfId="0" applyFont="1" applyFill="1"/>
    <xf numFmtId="0" fontId="26" fillId="0" borderId="0" xfId="0" applyFont="1" applyFill="1"/>
    <xf numFmtId="0" fontId="24" fillId="0" borderId="0" xfId="0" applyFont="1" applyFill="1"/>
    <xf numFmtId="164" fontId="24" fillId="0" borderId="0" xfId="18" applyNumberFormat="1" applyFont="1" applyFill="1"/>
    <xf numFmtId="164" fontId="26" fillId="0" borderId="0" xfId="18" applyNumberFormat="1" applyFont="1" applyFill="1"/>
    <xf numFmtId="0" fontId="25" fillId="0" borderId="0" xfId="0" applyFont="1" applyFill="1"/>
    <xf numFmtId="0" fontId="23" fillId="0" borderId="0" xfId="0" applyFont="1" applyFill="1" applyAlignment="1">
      <alignment horizontal="center" wrapText="1"/>
    </xf>
    <xf numFmtId="0" fontId="26" fillId="0" borderId="0" xfId="0" applyFont="1" applyFill="1" applyAlignment="1">
      <alignment horizontal="center" wrapText="1"/>
    </xf>
    <xf numFmtId="0" fontId="24" fillId="0" borderId="0" xfId="0" applyFont="1" applyFill="1" applyAlignment="1">
      <alignment horizontal="center" wrapText="1"/>
    </xf>
    <xf numFmtId="164" fontId="24" fillId="0" borderId="0" xfId="18" applyNumberFormat="1" applyFont="1" applyFill="1" applyAlignment="1">
      <alignment horizontal="center" wrapText="1"/>
    </xf>
    <xf numFmtId="164" fontId="26" fillId="0" borderId="0" xfId="18" applyNumberFormat="1" applyFont="1" applyFill="1" applyAlignment="1">
      <alignment horizontal="center" wrapText="1"/>
    </xf>
    <xf numFmtId="164" fontId="25" fillId="0" borderId="0" xfId="18" applyNumberFormat="1" applyFont="1" applyFill="1" applyAlignment="1">
      <alignment horizontal="center" wrapText="1"/>
    </xf>
    <xf numFmtId="0" fontId="30" fillId="0" borderId="2" xfId="0" applyFont="1" applyFill="1" applyBorder="1"/>
    <xf numFmtId="165" fontId="35" fillId="0" borderId="3" xfId="22" applyNumberFormat="1" applyFont="1" applyFill="1" applyBorder="1"/>
    <xf numFmtId="0" fontId="33" fillId="0" borderId="4" xfId="0" applyFont="1" applyFill="1" applyBorder="1" applyAlignment="1">
      <alignment horizontal="left"/>
    </xf>
    <xf numFmtId="3" fontId="24" fillId="0" borderId="0" xfId="0" applyNumberFormat="1" applyFont="1" applyFill="1"/>
    <xf numFmtId="165" fontId="34" fillId="0" borderId="0" xfId="22" applyNumberFormat="1" applyFont="1" applyFill="1"/>
    <xf numFmtId="165" fontId="26" fillId="0" borderId="0" xfId="22" applyNumberFormat="1" applyFont="1" applyFill="1"/>
    <xf numFmtId="3" fontId="23" fillId="0" borderId="0" xfId="0" applyNumberFormat="1" applyFont="1" applyFill="1"/>
    <xf numFmtId="165" fontId="25" fillId="0" borderId="0" xfId="22" applyNumberFormat="1" applyFont="1" applyFill="1"/>
    <xf numFmtId="0" fontId="24" fillId="0" borderId="5" xfId="0" applyFont="1" applyFill="1" applyBorder="1"/>
    <xf numFmtId="0" fontId="31" fillId="0" borderId="6" xfId="0" applyFont="1" applyFill="1" applyBorder="1" applyAlignment="1">
      <alignment horizontal="right"/>
    </xf>
    <xf numFmtId="3" fontId="31" fillId="0" borderId="0" xfId="21" applyNumberFormat="1" applyFont="1" applyFill="1" applyBorder="1"/>
    <xf numFmtId="165" fontId="34" fillId="0" borderId="0" xfId="22" applyNumberFormat="1" applyFont="1" applyFill="1" applyBorder="1"/>
    <xf numFmtId="166" fontId="31" fillId="0" borderId="7" xfId="21" applyNumberFormat="1" applyFont="1" applyFill="1" applyBorder="1"/>
    <xf numFmtId="166" fontId="31" fillId="0" borderId="8" xfId="21" applyNumberFormat="1" applyFont="1" applyFill="1" applyBorder="1"/>
    <xf numFmtId="166" fontId="31" fillId="0" borderId="6" xfId="21" applyNumberFormat="1" applyFont="1" applyFill="1" applyBorder="1" applyAlignment="1">
      <alignment horizontal="right"/>
    </xf>
    <xf numFmtId="0" fontId="30" fillId="0" borderId="4" xfId="0" applyFont="1" applyFill="1" applyBorder="1"/>
    <xf numFmtId="3" fontId="31" fillId="0" borderId="0" xfId="0" applyNumberFormat="1" applyFont="1" applyFill="1" applyBorder="1" applyAlignment="1">
      <alignment horizontal="center"/>
    </xf>
    <xf numFmtId="0" fontId="39" fillId="0" borderId="0" xfId="0" applyFont="1"/>
    <xf numFmtId="10" fontId="0" fillId="0" borderId="0" xfId="15" applyNumberFormat="1" applyFont="1"/>
    <xf numFmtId="0" fontId="0" fillId="0" borderId="0" xfId="0" applyFont="1"/>
    <xf numFmtId="0" fontId="0" fillId="0" borderId="0" xfId="0" applyFont="1" applyBorder="1"/>
    <xf numFmtId="0" fontId="40" fillId="0" borderId="0" xfId="0" applyFont="1" applyBorder="1"/>
    <xf numFmtId="0" fontId="29" fillId="0" borderId="0" xfId="0" applyFont="1" applyBorder="1"/>
    <xf numFmtId="10" fontId="40" fillId="0" borderId="0" xfId="15" applyNumberFormat="1" applyFont="1" applyBorder="1"/>
    <xf numFmtId="10" fontId="20" fillId="0" borderId="0" xfId="15" applyNumberFormat="1" applyFont="1"/>
    <xf numFmtId="0" fontId="22" fillId="2" borderId="4" xfId="0" applyFont="1" applyFill="1" applyBorder="1"/>
    <xf numFmtId="0" fontId="41" fillId="2" borderId="9" xfId="0" applyFont="1" applyFill="1" applyBorder="1"/>
    <xf numFmtId="0" fontId="21" fillId="2" borderId="9" xfId="0" applyFont="1" applyFill="1" applyBorder="1"/>
    <xf numFmtId="164" fontId="21" fillId="2" borderId="9" xfId="18" applyNumberFormat="1" applyFont="1" applyFill="1" applyBorder="1"/>
    <xf numFmtId="164" fontId="21" fillId="2" borderId="5" xfId="18" applyNumberFormat="1" applyFont="1" applyFill="1" applyBorder="1"/>
    <xf numFmtId="0" fontId="16" fillId="2" borderId="10" xfId="0" applyFont="1" applyFill="1" applyBorder="1"/>
    <xf numFmtId="0" fontId="16" fillId="2" borderId="2" xfId="0" applyFont="1" applyFill="1" applyBorder="1"/>
    <xf numFmtId="0" fontId="16" fillId="2" borderId="3" xfId="0" applyFont="1" applyFill="1" applyBorder="1"/>
    <xf numFmtId="0" fontId="0" fillId="2" borderId="3" xfId="0" applyFill="1" applyBorder="1"/>
    <xf numFmtId="165" fontId="16" fillId="2" borderId="3" xfId="15" applyNumberFormat="1" applyFont="1" applyFill="1" applyBorder="1" applyAlignment="1">
      <alignment horizontal="center"/>
    </xf>
    <xf numFmtId="10" fontId="19" fillId="2" borderId="3" xfId="15" applyNumberFormat="1" applyFont="1" applyFill="1" applyBorder="1" applyAlignment="1">
      <alignment horizontal="center"/>
    </xf>
    <xf numFmtId="0" fontId="22" fillId="2" borderId="2" xfId="0" applyFont="1" applyFill="1" applyBorder="1"/>
    <xf numFmtId="10" fontId="0" fillId="2" borderId="3" xfId="15" applyNumberFormat="1" applyFont="1" applyFill="1" applyBorder="1" applyAlignment="1">
      <alignment horizontal="center"/>
    </xf>
    <xf numFmtId="165" fontId="0" fillId="2" borderId="11" xfId="15" applyNumberFormat="1" applyFont="1" applyFill="1" applyBorder="1" applyAlignment="1">
      <alignment/>
    </xf>
    <xf numFmtId="165" fontId="0" fillId="2" borderId="11" xfId="0" applyNumberFormat="1" applyFill="1" applyBorder="1" applyAlignment="1">
      <alignment/>
    </xf>
    <xf numFmtId="165" fontId="31" fillId="0" borderId="0" xfId="22" applyNumberFormat="1" applyFont="1" applyFill="1" applyBorder="1"/>
    <xf numFmtId="0" fontId="24" fillId="0" borderId="7" xfId="0" applyFont="1" applyFill="1" applyBorder="1"/>
    <xf numFmtId="0" fontId="40" fillId="0" borderId="0" xfId="0" applyFont="1"/>
    <xf numFmtId="0" fontId="45" fillId="0" borderId="0" xfId="0" applyFont="1"/>
    <xf numFmtId="164" fontId="43" fillId="0" borderId="0" xfId="18" applyNumberFormat="1" applyFont="1"/>
    <xf numFmtId="165" fontId="43" fillId="0" borderId="0" xfId="15" applyNumberFormat="1" applyFont="1" applyAlignment="1">
      <alignment horizontal="right"/>
    </xf>
    <xf numFmtId="9" fontId="43" fillId="0" borderId="0" xfId="15" applyFont="1" applyAlignment="1">
      <alignment horizontal="left"/>
    </xf>
    <xf numFmtId="164" fontId="43" fillId="0" borderId="0" xfId="18" applyNumberFormat="1" applyFont="1" applyBorder="1" applyAlignment="1">
      <alignment horizontal="center" wrapText="1"/>
    </xf>
    <xf numFmtId="164" fontId="43" fillId="0" borderId="0" xfId="18" applyNumberFormat="1" applyFont="1" applyBorder="1"/>
    <xf numFmtId="10" fontId="43" fillId="0" borderId="0" xfId="15" applyNumberFormat="1" applyFont="1" applyBorder="1"/>
    <xf numFmtId="10" fontId="44" fillId="0" borderId="0" xfId="15" applyNumberFormat="1" applyFont="1" applyBorder="1"/>
    <xf numFmtId="164" fontId="44" fillId="0" borderId="0" xfId="18" applyNumberFormat="1" applyFont="1" applyBorder="1"/>
    <xf numFmtId="10" fontId="46" fillId="0" borderId="0" xfId="15" applyNumberFormat="1" applyFont="1" applyBorder="1"/>
    <xf numFmtId="164" fontId="46" fillId="0" borderId="0" xfId="18" applyNumberFormat="1" applyFont="1" applyBorder="1"/>
    <xf numFmtId="164" fontId="22" fillId="0" borderId="0" xfId="18" applyNumberFormat="1" applyFont="1"/>
    <xf numFmtId="164" fontId="49" fillId="0" borderId="0" xfId="18" applyNumberFormat="1" applyFont="1" applyBorder="1"/>
    <xf numFmtId="0" fontId="0" fillId="0" borderId="4" xfId="0" applyFill="1" applyBorder="1"/>
    <xf numFmtId="165" fontId="0" fillId="0" borderId="9" xfId="15" applyNumberFormat="1" applyFont="1" applyFill="1" applyBorder="1" applyAlignment="1">
      <alignment horizontal="center"/>
    </xf>
    <xf numFmtId="0" fontId="0" fillId="0" borderId="6" xfId="0" applyFill="1" applyBorder="1"/>
    <xf numFmtId="165" fontId="0" fillId="0" borderId="0" xfId="15" applyNumberFormat="1" applyFont="1" applyFill="1" applyBorder="1" applyAlignment="1">
      <alignment horizontal="center"/>
    </xf>
    <xf numFmtId="165" fontId="16" fillId="2" borderId="12" xfId="15" applyNumberFormat="1" applyFont="1" applyFill="1" applyBorder="1" applyAlignment="1">
      <alignment horizontal="center"/>
    </xf>
    <xf numFmtId="0" fontId="22" fillId="0" borderId="0" xfId="0" applyFont="1" applyAlignment="1">
      <alignment horizontal="center" wrapText="1"/>
    </xf>
    <xf numFmtId="0" fontId="21" fillId="0" borderId="0" xfId="0" applyFont="1" applyAlignment="1">
      <alignment horizontal="center" wrapText="1"/>
    </xf>
    <xf numFmtId="164" fontId="21" fillId="0" borderId="0" xfId="18" applyNumberFormat="1" applyFont="1" applyAlignment="1">
      <alignment horizontal="center" wrapText="1"/>
    </xf>
    <xf numFmtId="0" fontId="50" fillId="0" borderId="0" xfId="0" applyFont="1" applyAlignment="1">
      <alignment horizontal="center" wrapText="1"/>
    </xf>
    <xf numFmtId="164" fontId="50" fillId="0" borderId="0" xfId="18" applyNumberFormat="1" applyFont="1" applyAlignment="1">
      <alignment horizontal="center" wrapText="1"/>
    </xf>
    <xf numFmtId="0" fontId="41" fillId="0" borderId="0" xfId="0" applyFont="1"/>
    <xf numFmtId="0" fontId="22" fillId="2" borderId="3" xfId="0" applyFont="1" applyFill="1" applyBorder="1"/>
    <xf numFmtId="0" fontId="21" fillId="2" borderId="3" xfId="0" applyFont="1" applyFill="1" applyBorder="1"/>
    <xf numFmtId="164" fontId="21" fillId="2" borderId="3" xfId="18" applyNumberFormat="1" applyFont="1" applyFill="1" applyBorder="1"/>
    <xf numFmtId="164" fontId="21" fillId="2" borderId="11" xfId="18" applyNumberFormat="1" applyFont="1" applyFill="1" applyBorder="1"/>
    <xf numFmtId="43" fontId="21" fillId="0" borderId="0" xfId="18" applyNumberFormat="1" applyFont="1"/>
    <xf numFmtId="165" fontId="22" fillId="0" borderId="0" xfId="15" applyNumberFormat="1" applyFont="1" applyAlignment="1">
      <alignment horizontal="center"/>
    </xf>
    <xf numFmtId="0" fontId="22" fillId="2" borderId="10" xfId="0" applyFont="1" applyFill="1" applyBorder="1"/>
    <xf numFmtId="0" fontId="22" fillId="2" borderId="12" xfId="0" applyFont="1" applyFill="1" applyBorder="1"/>
    <xf numFmtId="0" fontId="21" fillId="2" borderId="12" xfId="0" applyFont="1" applyFill="1" applyBorder="1"/>
    <xf numFmtId="10" fontId="21" fillId="2" borderId="12" xfId="15" applyNumberFormat="1" applyFont="1" applyFill="1" applyBorder="1"/>
    <xf numFmtId="10" fontId="21" fillId="2" borderId="13" xfId="15" applyNumberFormat="1" applyFont="1" applyFill="1" applyBorder="1"/>
    <xf numFmtId="165" fontId="21" fillId="0" borderId="0" xfId="15" applyNumberFormat="1" applyFont="1"/>
    <xf numFmtId="0" fontId="41" fillId="2" borderId="4" xfId="0" applyFont="1" applyFill="1" applyBorder="1"/>
    <xf numFmtId="0" fontId="22" fillId="2" borderId="9" xfId="0" applyFont="1" applyFill="1" applyBorder="1"/>
    <xf numFmtId="37" fontId="48" fillId="0" borderId="0" xfId="18" applyNumberFormat="1" applyFont="1"/>
    <xf numFmtId="37" fontId="21" fillId="0" borderId="0" xfId="18" applyNumberFormat="1" applyFont="1"/>
    <xf numFmtId="37" fontId="43" fillId="0" borderId="0" xfId="18" applyNumberFormat="1" applyFont="1"/>
    <xf numFmtId="37" fontId="43" fillId="0" borderId="0" xfId="18" applyNumberFormat="1" applyFont="1" applyBorder="1"/>
    <xf numFmtId="3" fontId="28" fillId="0" borderId="0" xfId="18" applyNumberFormat="1" applyFont="1" applyAlignment="1">
      <alignment horizontal="center" wrapText="1"/>
    </xf>
    <xf numFmtId="3" fontId="0" fillId="0" borderId="0" xfId="18" applyNumberFormat="1" applyFont="1" applyAlignment="1">
      <alignment horizontal="center"/>
    </xf>
    <xf numFmtId="3" fontId="0" fillId="2" borderId="3" xfId="0" applyNumberFormat="1" applyFill="1" applyBorder="1" applyAlignment="1">
      <alignment horizontal="center"/>
    </xf>
    <xf numFmtId="3" fontId="0" fillId="0" borderId="0" xfId="0" applyNumberFormat="1" applyBorder="1" applyAlignment="1">
      <alignment horizontal="center"/>
    </xf>
    <xf numFmtId="3" fontId="16" fillId="0" borderId="0" xfId="18" applyNumberFormat="1" applyFont="1" applyAlignment="1">
      <alignment horizontal="center"/>
    </xf>
    <xf numFmtId="164" fontId="20" fillId="0" borderId="0" xfId="18" applyNumberFormat="1" applyFont="1" applyAlignment="1">
      <alignment horizontal="center"/>
    </xf>
    <xf numFmtId="0" fontId="0" fillId="0" borderId="0" xfId="0" applyFill="1" applyBorder="1"/>
    <xf numFmtId="0" fontId="0" fillId="0" borderId="10" xfId="0" applyFill="1" applyBorder="1"/>
    <xf numFmtId="165" fontId="0" fillId="0" borderId="12" xfId="15" applyNumberFormat="1" applyFont="1" applyFill="1" applyBorder="1" applyAlignment="1">
      <alignment horizontal="center"/>
    </xf>
    <xf numFmtId="3" fontId="0" fillId="0" borderId="0" xfId="0" applyNumberFormat="1" applyAlignment="1">
      <alignment horizontal="center" wrapText="1"/>
    </xf>
    <xf numFmtId="3" fontId="0" fillId="0" borderId="0" xfId="18" applyNumberFormat="1" applyFont="1" applyAlignment="1">
      <alignment horizontal="center" wrapText="1"/>
    </xf>
    <xf numFmtId="3" fontId="0" fillId="0" borderId="0" xfId="0" applyNumberFormat="1" applyAlignment="1">
      <alignment horizontal="center"/>
    </xf>
    <xf numFmtId="3" fontId="16" fillId="0" borderId="0" xfId="0" applyNumberFormat="1" applyFont="1" applyAlignment="1">
      <alignment horizontal="center"/>
    </xf>
    <xf numFmtId="3" fontId="16" fillId="2" borderId="3" xfId="0" applyNumberFormat="1" applyFont="1" applyFill="1" applyBorder="1" applyAlignment="1">
      <alignment horizontal="center"/>
    </xf>
    <xf numFmtId="3" fontId="16" fillId="2" borderId="12" xfId="0" applyNumberFormat="1" applyFont="1" applyFill="1" applyBorder="1" applyAlignment="1">
      <alignment horizontal="center"/>
    </xf>
    <xf numFmtId="3" fontId="16" fillId="2" borderId="11" xfId="0" applyNumberFormat="1" applyFont="1" applyFill="1" applyBorder="1" applyAlignment="1">
      <alignment horizontal="center"/>
    </xf>
    <xf numFmtId="0" fontId="6" fillId="0" borderId="0" xfId="0" applyFont="1" applyBorder="1" applyAlignment="1">
      <alignment horizontal="center" vertical="center"/>
    </xf>
    <xf numFmtId="14" fontId="5" fillId="2" borderId="0" xfId="0" applyNumberFormat="1" applyFont="1" applyFill="1" applyBorder="1" applyAlignment="1">
      <alignment horizontal="center" vertical="center"/>
    </xf>
    <xf numFmtId="164" fontId="15" fillId="0" borderId="1" xfId="18" applyNumberFormat="1" applyFont="1" applyBorder="1" applyAlignment="1">
      <alignment horizontal="center"/>
    </xf>
    <xf numFmtId="10" fontId="15" fillId="0" borderId="1" xfId="15" applyNumberFormat="1" applyFont="1" applyBorder="1" applyAlignment="1">
      <alignment horizontal="center"/>
    </xf>
    <xf numFmtId="0" fontId="22" fillId="0" borderId="0" xfId="0" applyFont="1" applyBorder="1"/>
    <xf numFmtId="0" fontId="21" fillId="0" borderId="0" xfId="0" applyFont="1" applyBorder="1"/>
    <xf numFmtId="164" fontId="21" fillId="0" borderId="0" xfId="18" applyNumberFormat="1" applyFont="1" applyBorder="1"/>
    <xf numFmtId="0" fontId="21" fillId="0" borderId="0" xfId="0" applyFont="1" applyFill="1"/>
    <xf numFmtId="164" fontId="22" fillId="0" borderId="0" xfId="18" applyNumberFormat="1" applyFont="1" applyFill="1" applyBorder="1"/>
    <xf numFmtId="164" fontId="22" fillId="0" borderId="0" xfId="18" applyNumberFormat="1" applyFont="1" applyFill="1"/>
    <xf numFmtId="10" fontId="22" fillId="0" borderId="0" xfId="15" applyNumberFormat="1" applyFont="1" applyFill="1" applyBorder="1"/>
    <xf numFmtId="0" fontId="20" fillId="0" borderId="0" xfId="0" applyFont="1" applyAlignment="1">
      <alignment horizontal="center"/>
    </xf>
    <xf numFmtId="10" fontId="20" fillId="0" borderId="0" xfId="0" applyNumberFormat="1" applyFont="1" applyAlignment="1">
      <alignment horizontal="center"/>
    </xf>
    <xf numFmtId="0" fontId="7" fillId="0" borderId="0" xfId="0" applyFont="1" applyAlignment="1">
      <alignment vertical="top" wrapText="1"/>
    </xf>
    <xf numFmtId="0" fontId="32" fillId="2" borderId="11" xfId="0" applyFont="1" applyFill="1" applyBorder="1" applyAlignment="1">
      <alignment horizontal="left"/>
    </xf>
    <xf numFmtId="0" fontId="32" fillId="2" borderId="13" xfId="0" applyFont="1" applyFill="1" applyBorder="1" applyAlignment="1">
      <alignment horizontal="left"/>
    </xf>
    <xf numFmtId="3" fontId="55" fillId="0" borderId="0" xfId="18" applyNumberFormat="1" applyFont="1" applyAlignment="1">
      <alignment horizontal="center"/>
    </xf>
    <xf numFmtId="37" fontId="55" fillId="0" borderId="0" xfId="18" applyNumberFormat="1" applyFont="1"/>
    <xf numFmtId="165" fontId="16" fillId="0" borderId="0" xfId="15" applyNumberFormat="1" applyFont="1" applyAlignment="1">
      <alignment horizontal="center"/>
    </xf>
    <xf numFmtId="10" fontId="56" fillId="0" borderId="0" xfId="15" applyNumberFormat="1" applyFont="1" applyAlignment="1">
      <alignment horizontal="center"/>
    </xf>
    <xf numFmtId="164" fontId="56" fillId="2" borderId="3" xfId="0" applyNumberFormat="1" applyFont="1" applyFill="1" applyBorder="1"/>
    <xf numFmtId="164" fontId="56" fillId="0" borderId="0" xfId="0" applyNumberFormat="1" applyFont="1" applyBorder="1"/>
    <xf numFmtId="10" fontId="57" fillId="0" borderId="0" xfId="15" applyNumberFormat="1" applyFont="1" applyAlignment="1">
      <alignment horizontal="center"/>
    </xf>
    <xf numFmtId="10" fontId="28" fillId="0" borderId="6" xfId="15" applyNumberFormat="1" applyFont="1" applyBorder="1" applyAlignment="1">
      <alignment horizontal="center" wrapText="1"/>
    </xf>
    <xf numFmtId="164" fontId="38" fillId="0" borderId="7" xfId="18" applyNumberFormat="1" applyFont="1" applyBorder="1" applyAlignment="1">
      <alignment horizontal="center" wrapText="1"/>
    </xf>
    <xf numFmtId="10" fontId="0" fillId="0" borderId="6" xfId="15" applyNumberFormat="1" applyFont="1" applyBorder="1" applyAlignment="1">
      <alignment horizontal="center"/>
    </xf>
    <xf numFmtId="164" fontId="20" fillId="0" borderId="7" xfId="18" applyNumberFormat="1" applyFont="1" applyBorder="1" applyAlignment="1">
      <alignment horizontal="center"/>
    </xf>
    <xf numFmtId="10" fontId="16" fillId="0" borderId="6" xfId="15" applyNumberFormat="1" applyFont="1" applyBorder="1" applyAlignment="1">
      <alignment horizontal="center"/>
    </xf>
    <xf numFmtId="10" fontId="0" fillId="2" borderId="2" xfId="15" applyNumberFormat="1" applyFont="1" applyFill="1" applyBorder="1" applyAlignment="1">
      <alignment horizontal="center"/>
    </xf>
    <xf numFmtId="164" fontId="20" fillId="2" borderId="11" xfId="0" applyNumberFormat="1" applyFont="1" applyFill="1" applyBorder="1" applyAlignment="1">
      <alignment horizontal="center"/>
    </xf>
    <xf numFmtId="164" fontId="38" fillId="0" borderId="7" xfId="18" applyNumberFormat="1" applyFont="1" applyBorder="1" applyAlignment="1">
      <alignment horizontal="center"/>
    </xf>
    <xf numFmtId="164" fontId="20" fillId="2" borderId="13" xfId="18" applyNumberFormat="1" applyFont="1" applyFill="1" applyBorder="1" applyAlignment="1">
      <alignment horizontal="center"/>
    </xf>
    <xf numFmtId="164" fontId="0" fillId="2" borderId="2" xfId="0" applyNumberFormat="1" applyFill="1" applyBorder="1"/>
    <xf numFmtId="3" fontId="21" fillId="0" borderId="0" xfId="18" applyNumberFormat="1" applyFont="1" applyFill="1" applyBorder="1" applyAlignment="1">
      <alignment horizontal="center"/>
    </xf>
    <xf numFmtId="3" fontId="21" fillId="0" borderId="9" xfId="18" applyNumberFormat="1" applyFont="1" applyFill="1" applyBorder="1" applyAlignment="1">
      <alignment horizontal="center"/>
    </xf>
    <xf numFmtId="3" fontId="21" fillId="0" borderId="12" xfId="18" applyNumberFormat="1" applyFont="1" applyFill="1" applyBorder="1" applyAlignment="1">
      <alignment horizontal="center"/>
    </xf>
    <xf numFmtId="0" fontId="0" fillId="0" borderId="0" xfId="0" applyAlignment="1">
      <alignment wrapText="1"/>
    </xf>
    <xf numFmtId="0" fontId="58" fillId="0" borderId="0" xfId="0" applyFont="1" applyAlignment="1">
      <alignment wrapText="1"/>
    </xf>
    <xf numFmtId="0" fontId="58" fillId="0" borderId="0" xfId="0" applyFont="1" applyAlignment="1">
      <alignment horizontal="left" wrapText="1"/>
    </xf>
    <xf numFmtId="165" fontId="20" fillId="0" borderId="0" xfId="15" applyNumberFormat="1" applyFont="1" applyAlignment="1">
      <alignment horizontal="center"/>
    </xf>
    <xf numFmtId="0" fontId="48" fillId="4" borderId="0" xfId="0" applyFont="1" applyFill="1"/>
    <xf numFmtId="14" fontId="48" fillId="4" borderId="0" xfId="0" applyNumberFormat="1" applyFont="1" applyFill="1" applyAlignment="1">
      <alignment horizontal="left"/>
    </xf>
    <xf numFmtId="164" fontId="55" fillId="4" borderId="0" xfId="18" applyNumberFormat="1" applyFont="1" applyFill="1"/>
    <xf numFmtId="10" fontId="54" fillId="4" borderId="1" xfId="15" applyNumberFormat="1" applyFont="1" applyFill="1" applyBorder="1" applyAlignment="1">
      <alignment horizontal="center"/>
    </xf>
    <xf numFmtId="0" fontId="54" fillId="4" borderId="1" xfId="0" applyFont="1" applyFill="1" applyBorder="1" applyAlignment="1">
      <alignment horizontal="center"/>
    </xf>
    <xf numFmtId="3" fontId="55" fillId="4" borderId="0" xfId="18" applyNumberFormat="1" applyFont="1" applyFill="1" applyAlignment="1">
      <alignment horizontal="center"/>
    </xf>
    <xf numFmtId="10" fontId="55" fillId="4" borderId="6" xfId="15" applyNumberFormat="1" applyFont="1" applyFill="1" applyBorder="1" applyAlignment="1">
      <alignment horizontal="center"/>
    </xf>
    <xf numFmtId="3" fontId="55" fillId="4" borderId="0" xfId="18" applyNumberFormat="1" applyFont="1" applyFill="1" applyBorder="1" applyAlignment="1">
      <alignment horizontal="center"/>
    </xf>
    <xf numFmtId="3" fontId="55" fillId="4" borderId="9" xfId="18" applyNumberFormat="1" applyFont="1" applyFill="1" applyBorder="1" applyAlignment="1">
      <alignment horizontal="center"/>
    </xf>
    <xf numFmtId="3" fontId="55" fillId="4" borderId="5" xfId="18" applyNumberFormat="1" applyFont="1" applyFill="1" applyBorder="1" applyAlignment="1">
      <alignment horizontal="center"/>
    </xf>
    <xf numFmtId="3" fontId="55" fillId="4" borderId="7" xfId="18" applyNumberFormat="1" applyFont="1" applyFill="1" applyBorder="1" applyAlignment="1">
      <alignment horizontal="center"/>
    </xf>
    <xf numFmtId="3" fontId="55" fillId="4" borderId="12" xfId="18" applyNumberFormat="1" applyFont="1" applyFill="1" applyBorder="1" applyAlignment="1">
      <alignment horizontal="center"/>
    </xf>
    <xf numFmtId="3" fontId="55" fillId="4" borderId="13" xfId="18" applyNumberFormat="1" applyFont="1" applyFill="1" applyBorder="1" applyAlignment="1">
      <alignment horizontal="center"/>
    </xf>
    <xf numFmtId="37" fontId="55" fillId="4" borderId="0" xfId="18" applyNumberFormat="1" applyFont="1" applyFill="1"/>
    <xf numFmtId="0" fontId="29" fillId="0" borderId="0" xfId="0" applyFont="1" applyBorder="1" applyAlignment="1">
      <alignment horizontal="center"/>
    </xf>
    <xf numFmtId="0" fontId="22" fillId="0" borderId="0" xfId="0" applyFont="1" applyAlignment="1">
      <alignment horizontal="center"/>
    </xf>
    <xf numFmtId="14" fontId="21" fillId="0" borderId="0" xfId="0" applyNumberFormat="1" applyFont="1"/>
    <xf numFmtId="14" fontId="29" fillId="0" borderId="0" xfId="0" applyNumberFormat="1" applyFont="1" applyBorder="1" applyAlignment="1">
      <alignment horizontal="center"/>
    </xf>
    <xf numFmtId="164" fontId="22" fillId="0" borderId="0" xfId="18" applyNumberFormat="1" applyFont="1" applyFill="1" applyBorder="1" applyAlignment="1">
      <alignment/>
    </xf>
    <xf numFmtId="0" fontId="50" fillId="4" borderId="0" xfId="0" applyFont="1" applyFill="1" applyAlignment="1">
      <alignment horizontal="center" wrapText="1"/>
    </xf>
    <xf numFmtId="0" fontId="52" fillId="4" borderId="0" xfId="0" applyFont="1" applyFill="1" applyAlignment="1">
      <alignment horizontal="right"/>
    </xf>
    <xf numFmtId="0" fontId="50" fillId="4" borderId="0" xfId="0" applyFont="1" applyFill="1" applyAlignment="1">
      <alignment horizontal="left" wrapText="1"/>
    </xf>
    <xf numFmtId="0" fontId="50" fillId="4" borderId="0" xfId="0" applyFont="1" applyFill="1" applyAlignment="1">
      <alignment horizontal="left"/>
    </xf>
    <xf numFmtId="0" fontId="3" fillId="4" borderId="0" xfId="0" applyFont="1" applyFill="1"/>
    <xf numFmtId="0" fontId="52" fillId="4" borderId="0" xfId="0" applyFont="1" applyFill="1" applyAlignment="1">
      <alignment horizontal="left"/>
    </xf>
    <xf numFmtId="3" fontId="16" fillId="0" borderId="0" xfId="0" applyNumberFormat="1" applyFont="1" applyFill="1" applyBorder="1" applyAlignment="1">
      <alignment/>
    </xf>
    <xf numFmtId="0" fontId="23" fillId="0" borderId="0" xfId="0" applyFont="1" applyFill="1" applyBorder="1" applyAlignment="1">
      <alignment/>
    </xf>
    <xf numFmtId="0" fontId="29" fillId="0" borderId="0" xfId="0" applyFont="1" applyFill="1" applyBorder="1"/>
    <xf numFmtId="0" fontId="21" fillId="0" borderId="6" xfId="0" applyFont="1" applyFill="1" applyBorder="1" applyAlignment="1">
      <alignment horizontal="right"/>
    </xf>
    <xf numFmtId="0" fontId="21" fillId="0" borderId="14" xfId="0" applyFont="1" applyFill="1" applyBorder="1" applyAlignment="1">
      <alignment horizontal="right"/>
    </xf>
    <xf numFmtId="0" fontId="33" fillId="0" borderId="6" xfId="0" applyFont="1" applyFill="1" applyBorder="1" applyAlignment="1">
      <alignment horizontal="left"/>
    </xf>
    <xf numFmtId="166" fontId="21" fillId="0" borderId="6" xfId="21" applyNumberFormat="1" applyFont="1" applyFill="1" applyBorder="1" applyAlignment="1">
      <alignment horizontal="right"/>
    </xf>
    <xf numFmtId="0" fontId="0" fillId="0" borderId="6" xfId="0" applyFont="1" applyFill="1" applyBorder="1"/>
    <xf numFmtId="3" fontId="22" fillId="0" borderId="3" xfId="0" applyNumberFormat="1" applyFont="1" applyFill="1" applyBorder="1" applyAlignment="1">
      <alignment horizontal="center"/>
    </xf>
    <xf numFmtId="3" fontId="55" fillId="4" borderId="0" xfId="21" applyNumberFormat="1" applyFont="1" applyFill="1" applyBorder="1"/>
    <xf numFmtId="165" fontId="21" fillId="0" borderId="0" xfId="22" applyNumberFormat="1" applyFont="1" applyFill="1" applyBorder="1"/>
    <xf numFmtId="165" fontId="21" fillId="0" borderId="15" xfId="22" applyNumberFormat="1" applyFont="1" applyFill="1" applyBorder="1"/>
    <xf numFmtId="3" fontId="21" fillId="0" borderId="0" xfId="21" applyNumberFormat="1" applyFont="1" applyFill="1" applyBorder="1"/>
    <xf numFmtId="3" fontId="55" fillId="4" borderId="15" xfId="21" applyNumberFormat="1" applyFont="1" applyFill="1" applyBorder="1"/>
    <xf numFmtId="3" fontId="22" fillId="2" borderId="3" xfId="21" applyNumberFormat="1" applyFont="1" applyFill="1" applyBorder="1"/>
    <xf numFmtId="165" fontId="22" fillId="2" borderId="3" xfId="22" applyNumberFormat="1" applyFont="1" applyFill="1" applyBorder="1"/>
    <xf numFmtId="3" fontId="22" fillId="2" borderId="12" xfId="21" applyNumberFormat="1" applyFont="1" applyFill="1" applyBorder="1"/>
    <xf numFmtId="165" fontId="22" fillId="2" borderId="12" xfId="22" applyNumberFormat="1" applyFont="1" applyFill="1" applyBorder="1"/>
    <xf numFmtId="3" fontId="0" fillId="0" borderId="0" xfId="0" applyNumberFormat="1" applyFont="1" applyFill="1" applyBorder="1"/>
    <xf numFmtId="165" fontId="0" fillId="0" borderId="0" xfId="22" applyNumberFormat="1" applyFont="1" applyFill="1" applyBorder="1"/>
    <xf numFmtId="3" fontId="0" fillId="0" borderId="0" xfId="18" applyNumberFormat="1" applyFont="1" applyAlignment="1">
      <alignment horizontal="right"/>
    </xf>
    <xf numFmtId="0" fontId="20" fillId="0" borderId="0" xfId="0" applyFont="1" applyAlignment="1">
      <alignment vertical="top"/>
    </xf>
    <xf numFmtId="0" fontId="0" fillId="0" borderId="0" xfId="0" applyFill="1"/>
    <xf numFmtId="0" fontId="16" fillId="0" borderId="0" xfId="0" applyFont="1" applyFill="1"/>
    <xf numFmtId="0" fontId="16" fillId="0" borderId="0" xfId="0" applyFont="1" applyFill="1" applyBorder="1" applyAlignment="1">
      <alignment/>
    </xf>
    <xf numFmtId="0" fontId="16" fillId="0" borderId="0" xfId="0" applyFont="1" applyAlignment="1">
      <alignment vertical="top" wrapText="1"/>
    </xf>
    <xf numFmtId="0" fontId="16" fillId="0" borderId="0" xfId="0" applyFont="1" applyFill="1" applyAlignment="1">
      <alignment horizontal="left" vertical="top" wrapText="1"/>
    </xf>
    <xf numFmtId="0" fontId="16" fillId="5" borderId="16" xfId="0" applyFont="1" applyFill="1" applyBorder="1"/>
    <xf numFmtId="43" fontId="66" fillId="0" borderId="0" xfId="18" applyFont="1" applyAlignment="1">
      <alignment horizontal="center"/>
    </xf>
    <xf numFmtId="0" fontId="0" fillId="0" borderId="0" xfId="0" applyFont="1" applyAlignment="1">
      <alignment horizontal="right"/>
    </xf>
    <xf numFmtId="0" fontId="0" fillId="0" borderId="0" xfId="0" applyAlignment="1">
      <alignment horizontal="right"/>
    </xf>
    <xf numFmtId="0" fontId="16" fillId="6" borderId="16" xfId="0" applyFont="1" applyFill="1" applyBorder="1"/>
    <xf numFmtId="0" fontId="16" fillId="7" borderId="16" xfId="0" applyFont="1" applyFill="1" applyBorder="1"/>
    <xf numFmtId="0" fontId="0" fillId="0" borderId="0" xfId="0" applyFill="1" applyBorder="1" applyAlignment="1">
      <alignment horizontal="right"/>
    </xf>
    <xf numFmtId="0" fontId="55" fillId="4" borderId="0" xfId="0" applyFont="1" applyFill="1" applyAlignment="1">
      <alignment horizontal="left" vertical="top" wrapText="1"/>
    </xf>
    <xf numFmtId="0" fontId="16" fillId="0" borderId="0" xfId="0" applyFont="1" applyFill="1" applyAlignment="1">
      <alignment vertical="top" wrapText="1"/>
    </xf>
    <xf numFmtId="43" fontId="66" fillId="0" borderId="0" xfId="18" applyFont="1" applyFill="1" applyBorder="1" applyAlignment="1">
      <alignment horizontal="center"/>
    </xf>
    <xf numFmtId="0" fontId="58" fillId="0" borderId="0" xfId="0" applyFont="1" applyFill="1" applyAlignment="1">
      <alignment wrapText="1"/>
    </xf>
    <xf numFmtId="0" fontId="48" fillId="0" borderId="0" xfId="0" applyFont="1" applyFill="1" applyAlignment="1">
      <alignment horizontal="center"/>
    </xf>
    <xf numFmtId="164" fontId="21" fillId="0" borderId="0" xfId="18" applyNumberFormat="1" applyFont="1" applyFill="1"/>
    <xf numFmtId="0" fontId="38" fillId="4" borderId="0" xfId="0" applyFont="1" applyFill="1" applyAlignment="1">
      <alignment horizontal="right"/>
    </xf>
    <xf numFmtId="165" fontId="20" fillId="2" borderId="12" xfId="15" applyNumberFormat="1" applyFont="1" applyFill="1" applyBorder="1" applyAlignment="1">
      <alignment horizontal="center"/>
    </xf>
    <xf numFmtId="0" fontId="20" fillId="0" borderId="0" xfId="0" applyFont="1" applyAlignment="1">
      <alignment horizontal="center" wrapText="1"/>
    </xf>
    <xf numFmtId="10" fontId="20" fillId="0" borderId="0" xfId="15" applyNumberFormat="1" applyFont="1" applyAlignment="1">
      <alignment horizontal="center" wrapText="1"/>
    </xf>
    <xf numFmtId="10" fontId="20" fillId="0" borderId="0" xfId="15" applyNumberFormat="1" applyFont="1" applyFill="1" applyBorder="1" applyAlignment="1">
      <alignment horizontal="center"/>
    </xf>
    <xf numFmtId="10" fontId="20" fillId="0" borderId="12" xfId="15" applyNumberFormat="1" applyFont="1" applyFill="1" applyBorder="1" applyAlignment="1">
      <alignment horizontal="center"/>
    </xf>
    <xf numFmtId="10" fontId="22" fillId="0" borderId="1" xfId="15" applyNumberFormat="1" applyFont="1" applyFill="1" applyBorder="1" applyAlignment="1">
      <alignment horizontal="center"/>
    </xf>
    <xf numFmtId="0" fontId="13" fillId="4" borderId="0" xfId="0" applyFont="1" applyFill="1"/>
    <xf numFmtId="0" fontId="2" fillId="4" borderId="0" xfId="0" applyFont="1" applyFill="1"/>
    <xf numFmtId="0" fontId="6" fillId="0" borderId="1" xfId="0" applyFont="1" applyBorder="1" applyAlignment="1">
      <alignment horizontal="center" vertical="center"/>
    </xf>
    <xf numFmtId="0" fontId="29" fillId="0" borderId="0" xfId="0" applyFont="1" applyBorder="1" applyAlignment="1">
      <alignment horizontal="center"/>
    </xf>
    <xf numFmtId="0" fontId="70" fillId="0" borderId="0" xfId="0" applyFont="1"/>
    <xf numFmtId="164" fontId="21" fillId="2" borderId="12" xfId="18" applyNumberFormat="1" applyFont="1" applyFill="1" applyBorder="1"/>
    <xf numFmtId="164" fontId="21" fillId="2" borderId="13" xfId="18" applyNumberFormat="1" applyFont="1" applyFill="1" applyBorder="1"/>
    <xf numFmtId="14" fontId="5" fillId="0" borderId="6" xfId="0" applyNumberFormat="1" applyFont="1" applyBorder="1" applyAlignment="1">
      <alignment horizontal="center" vertical="center"/>
    </xf>
    <xf numFmtId="0" fontId="3" fillId="2" borderId="0" xfId="0" applyFont="1" applyFill="1" applyBorder="1"/>
    <xf numFmtId="0" fontId="1" fillId="2" borderId="0" xfId="0" applyFont="1" applyFill="1" applyBorder="1"/>
    <xf numFmtId="10" fontId="15" fillId="0" borderId="6" xfId="15" applyNumberFormat="1" applyFont="1" applyBorder="1" applyAlignment="1">
      <alignment horizontal="center"/>
    </xf>
    <xf numFmtId="0" fontId="17" fillId="0" borderId="7" xfId="0" applyFont="1" applyBorder="1" applyAlignment="1">
      <alignment horizontal="center"/>
    </xf>
    <xf numFmtId="10" fontId="1" fillId="2" borderId="0" xfId="15" applyNumberFormat="1" applyFont="1" applyFill="1" applyBorder="1"/>
    <xf numFmtId="0" fontId="15" fillId="0" borderId="6" xfId="0" applyFont="1" applyBorder="1" applyAlignment="1">
      <alignment horizontal="center"/>
    </xf>
    <xf numFmtId="0" fontId="1" fillId="0" borderId="6" xfId="0" applyFont="1" applyBorder="1" applyAlignment="1">
      <alignment horizontal="center"/>
    </xf>
    <xf numFmtId="10" fontId="1" fillId="0" borderId="6" xfId="15" applyNumberFormat="1" applyFont="1" applyBorder="1" applyAlignment="1">
      <alignment horizontal="center"/>
    </xf>
    <xf numFmtId="0" fontId="53" fillId="0" borderId="6" xfId="0" applyFont="1" applyBorder="1" applyAlignment="1">
      <alignment horizontal="center"/>
    </xf>
    <xf numFmtId="0" fontId="1" fillId="0" borderId="10" xfId="0" applyFont="1" applyBorder="1" applyAlignment="1">
      <alignment horizontal="center"/>
    </xf>
    <xf numFmtId="0" fontId="1" fillId="2" borderId="12" xfId="0" applyFont="1" applyFill="1" applyBorder="1"/>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3" fillId="0" borderId="6" xfId="0" applyFont="1" applyBorder="1"/>
    <xf numFmtId="0" fontId="3" fillId="0" borderId="0" xfId="0" applyFont="1" applyBorder="1"/>
    <xf numFmtId="0" fontId="3" fillId="0" borderId="7" xfId="0" applyFont="1" applyBorder="1"/>
    <xf numFmtId="164" fontId="1" fillId="0" borderId="6" xfId="18" applyNumberFormat="1" applyFont="1" applyBorder="1"/>
    <xf numFmtId="164" fontId="1" fillId="0" borderId="0" xfId="18" applyNumberFormat="1" applyFont="1" applyBorder="1"/>
    <xf numFmtId="164" fontId="1" fillId="0" borderId="7" xfId="18" applyNumberFormat="1" applyFont="1" applyBorder="1"/>
    <xf numFmtId="10" fontId="67" fillId="4" borderId="6" xfId="15" applyNumberFormat="1" applyFont="1" applyFill="1" applyBorder="1"/>
    <xf numFmtId="10" fontId="67" fillId="4" borderId="0" xfId="15" applyNumberFormat="1" applyFont="1" applyFill="1" applyBorder="1"/>
    <xf numFmtId="10" fontId="67" fillId="4" borderId="7" xfId="15" applyNumberFormat="1" applyFont="1" applyFill="1" applyBorder="1"/>
    <xf numFmtId="10" fontId="1" fillId="0" borderId="6" xfId="15" applyNumberFormat="1" applyFont="1" applyBorder="1"/>
    <xf numFmtId="10" fontId="1" fillId="0" borderId="0" xfId="15" applyNumberFormat="1" applyFont="1" applyBorder="1"/>
    <xf numFmtId="10" fontId="1" fillId="0" borderId="7" xfId="15" applyNumberFormat="1" applyFont="1" applyBorder="1"/>
    <xf numFmtId="0" fontId="1" fillId="0" borderId="6" xfId="0" applyFont="1" applyBorder="1"/>
    <xf numFmtId="0" fontId="1" fillId="0" borderId="0" xfId="0" applyFont="1" applyBorder="1"/>
    <xf numFmtId="0" fontId="1" fillId="0" borderId="7" xfId="0" applyFont="1" applyBorder="1"/>
    <xf numFmtId="9" fontId="67" fillId="4" borderId="6" xfId="15" applyNumberFormat="1" applyFont="1" applyFill="1" applyBorder="1"/>
    <xf numFmtId="9" fontId="67" fillId="4" borderId="0" xfId="15" applyNumberFormat="1" applyFont="1" applyFill="1" applyBorder="1"/>
    <xf numFmtId="9" fontId="67" fillId="4" borderId="7" xfId="15" applyNumberFormat="1" applyFont="1" applyFill="1" applyBorder="1"/>
    <xf numFmtId="0" fontId="1" fillId="0" borderId="10" xfId="0" applyFont="1" applyBorder="1"/>
    <xf numFmtId="0" fontId="1" fillId="0" borderId="12" xfId="0" applyFont="1" applyBorder="1"/>
    <xf numFmtId="0" fontId="1" fillId="0" borderId="13" xfId="0" applyFont="1" applyBorder="1"/>
    <xf numFmtId="0" fontId="3" fillId="0" borderId="17" xfId="0" applyFont="1" applyBorder="1" applyAlignment="1">
      <alignment horizontal="center"/>
    </xf>
    <xf numFmtId="0" fontId="1" fillId="0" borderId="17" xfId="0" applyFont="1" applyBorder="1" applyAlignment="1">
      <alignment horizontal="center"/>
    </xf>
    <xf numFmtId="0" fontId="1" fillId="0" borderId="17" xfId="0" applyFont="1" applyBorder="1"/>
    <xf numFmtId="0" fontId="1" fillId="0" borderId="18" xfId="0" applyFont="1" applyBorder="1" applyAlignment="1">
      <alignment horizontal="center"/>
    </xf>
    <xf numFmtId="14" fontId="5" fillId="0" borderId="2" xfId="0" applyNumberFormat="1" applyFont="1" applyBorder="1" applyAlignment="1">
      <alignment horizontal="center" vertical="center"/>
    </xf>
    <xf numFmtId="14" fontId="71" fillId="8" borderId="0" xfId="0" applyNumberFormat="1" applyFont="1" applyFill="1" applyBorder="1" applyAlignment="1">
      <alignment horizontal="center" vertical="center"/>
    </xf>
    <xf numFmtId="14" fontId="5" fillId="0" borderId="1" xfId="0" applyNumberFormat="1" applyFont="1" applyBorder="1" applyAlignment="1">
      <alignment horizontal="center" vertical="center" wrapText="1"/>
    </xf>
    <xf numFmtId="0" fontId="7" fillId="0" borderId="0" xfId="0" applyFont="1" applyAlignment="1">
      <alignment horizontal="center"/>
    </xf>
    <xf numFmtId="0" fontId="7" fillId="0" borderId="7" xfId="0" applyFont="1" applyBorder="1" applyAlignment="1">
      <alignment horizontal="center"/>
    </xf>
    <xf numFmtId="0" fontId="8" fillId="0" borderId="7" xfId="0" applyFont="1" applyBorder="1" applyAlignment="1">
      <alignment horizontal="center"/>
    </xf>
    <xf numFmtId="0" fontId="17" fillId="0" borderId="13" xfId="0" applyFont="1" applyBorder="1" applyAlignment="1">
      <alignment horizontal="center"/>
    </xf>
    <xf numFmtId="0" fontId="7" fillId="0" borderId="0" xfId="0" applyFont="1" applyAlignment="1">
      <alignment horizontal="center" vertical="top" wrapText="1"/>
    </xf>
    <xf numFmtId="164" fontId="15" fillId="0" borderId="11" xfId="18" applyNumberFormat="1" applyFont="1" applyFill="1" applyBorder="1" applyAlignment="1">
      <alignment horizontal="center"/>
    </xf>
    <xf numFmtId="10" fontId="15" fillId="0" borderId="0" xfId="15" applyNumberFormat="1" applyFont="1" applyFill="1" applyBorder="1" applyAlignment="1">
      <alignment horizontal="center"/>
    </xf>
    <xf numFmtId="0" fontId="15" fillId="0" borderId="0" xfId="0" applyFont="1" applyFill="1" applyBorder="1" applyAlignment="1">
      <alignment horizontal="center"/>
    </xf>
    <xf numFmtId="10" fontId="15" fillId="0" borderId="11" xfId="15" applyNumberFormat="1" applyFont="1" applyFill="1" applyBorder="1" applyAlignment="1">
      <alignment horizontal="center"/>
    </xf>
    <xf numFmtId="10" fontId="72" fillId="0" borderId="11" xfId="15" applyNumberFormat="1" applyFont="1" applyFill="1" applyBorder="1" applyAlignment="1">
      <alignment horizontal="center"/>
    </xf>
    <xf numFmtId="0" fontId="72" fillId="0" borderId="11" xfId="0" applyFont="1" applyFill="1" applyBorder="1" applyAlignment="1">
      <alignment horizontal="center"/>
    </xf>
    <xf numFmtId="0" fontId="15" fillId="0" borderId="12" xfId="0" applyFont="1" applyFill="1" applyBorder="1" applyAlignment="1">
      <alignment horizontal="center"/>
    </xf>
    <xf numFmtId="0" fontId="67" fillId="4" borderId="6" xfId="0" applyFont="1" applyFill="1" applyBorder="1" applyAlignment="1">
      <alignment horizontal="center"/>
    </xf>
    <xf numFmtId="0" fontId="32" fillId="0" borderId="0" xfId="0" applyFont="1"/>
    <xf numFmtId="0" fontId="31" fillId="0" borderId="0" xfId="0" applyFont="1"/>
    <xf numFmtId="164" fontId="31" fillId="0" borderId="0" xfId="18" applyNumberFormat="1" applyFont="1"/>
    <xf numFmtId="0" fontId="0" fillId="0" borderId="19" xfId="0" applyFont="1" applyBorder="1" applyAlignment="1">
      <alignment horizontal="right"/>
    </xf>
    <xf numFmtId="0" fontId="21" fillId="0" borderId="0" xfId="0" applyFont="1" quotePrefix="1"/>
    <xf numFmtId="164" fontId="71" fillId="0" borderId="0" xfId="21" applyNumberFormat="1" applyFont="1"/>
    <xf numFmtId="0" fontId="73" fillId="0" borderId="0" xfId="0" applyFont="1"/>
    <xf numFmtId="0" fontId="15" fillId="0" borderId="0" xfId="0" applyFont="1"/>
    <xf numFmtId="43" fontId="21" fillId="0" borderId="19" xfId="18" applyFont="1" applyBorder="1" applyAlignment="1">
      <alignment/>
    </xf>
    <xf numFmtId="43" fontId="21" fillId="0" borderId="0" xfId="18" applyFont="1" applyBorder="1" applyAlignment="1">
      <alignment/>
    </xf>
    <xf numFmtId="164" fontId="21" fillId="0" borderId="19" xfId="18" applyNumberFormat="1" applyFont="1" applyBorder="1"/>
    <xf numFmtId="0" fontId="19" fillId="0" borderId="0" xfId="0" applyFont="1" quotePrefix="1"/>
    <xf numFmtId="0" fontId="22" fillId="0" borderId="0" xfId="0" applyFont="1" applyAlignment="1">
      <alignment horizontal="right"/>
    </xf>
    <xf numFmtId="37" fontId="0" fillId="0" borderId="0" xfId="0" applyNumberFormat="1"/>
    <xf numFmtId="9" fontId="21" fillId="0" borderId="0" xfId="15" applyFont="1"/>
    <xf numFmtId="37" fontId="21" fillId="2" borderId="3" xfId="18" applyNumberFormat="1" applyFont="1" applyFill="1" applyBorder="1"/>
    <xf numFmtId="37" fontId="21" fillId="2" borderId="11" xfId="18" applyNumberFormat="1" applyFont="1" applyFill="1" applyBorder="1"/>
    <xf numFmtId="37" fontId="21" fillId="0" borderId="0" xfId="18" applyNumberFormat="1" applyFont="1" applyBorder="1"/>
    <xf numFmtId="0" fontId="0" fillId="0" borderId="10" xfId="0" applyFont="1" applyFill="1" applyBorder="1" applyAlignment="1">
      <alignment horizontal="right"/>
    </xf>
    <xf numFmtId="3" fontId="21" fillId="0" borderId="15" xfId="21" applyNumberFormat="1" applyFont="1" applyFill="1" applyBorder="1"/>
    <xf numFmtId="0" fontId="31" fillId="0" borderId="7" xfId="0" applyFont="1" applyFill="1" applyBorder="1" applyAlignment="1">
      <alignment horizontal="left"/>
    </xf>
    <xf numFmtId="3" fontId="0" fillId="0" borderId="0" xfId="0" applyNumberFormat="1" applyFont="1" applyFill="1" applyBorder="1"/>
    <xf numFmtId="165" fontId="22" fillId="0" borderId="3" xfId="22" applyNumberFormat="1" applyFont="1" applyFill="1" applyBorder="1"/>
    <xf numFmtId="166" fontId="32" fillId="0" borderId="11" xfId="21" applyNumberFormat="1" applyFont="1" applyFill="1" applyBorder="1"/>
    <xf numFmtId="166" fontId="22" fillId="2" borderId="2" xfId="21" applyNumberFormat="1" applyFont="1" applyFill="1" applyBorder="1" applyAlignment="1">
      <alignment horizontal="right"/>
    </xf>
    <xf numFmtId="166" fontId="22" fillId="2" borderId="10" xfId="21" applyNumberFormat="1" applyFont="1" applyFill="1" applyBorder="1" applyAlignment="1">
      <alignment horizontal="right"/>
    </xf>
    <xf numFmtId="3" fontId="0" fillId="0" borderId="12" xfId="0" applyNumberFormat="1" applyFont="1" applyFill="1" applyBorder="1"/>
    <xf numFmtId="165" fontId="21" fillId="0" borderId="12" xfId="22" applyNumberFormat="1" applyFont="1" applyFill="1" applyBorder="1"/>
    <xf numFmtId="165" fontId="0" fillId="0" borderId="12" xfId="22" applyNumberFormat="1" applyFont="1" applyFill="1" applyBorder="1"/>
    <xf numFmtId="0" fontId="0" fillId="0" borderId="13" xfId="0" applyFont="1" applyFill="1" applyBorder="1"/>
    <xf numFmtId="0" fontId="20" fillId="2" borderId="6" xfId="0" applyFont="1" applyFill="1" applyBorder="1"/>
    <xf numFmtId="9" fontId="20" fillId="2" borderId="0" xfId="15" applyFont="1" applyFill="1" applyBorder="1"/>
    <xf numFmtId="0" fontId="75" fillId="0" borderId="0" xfId="0" applyFont="1"/>
    <xf numFmtId="38" fontId="75" fillId="0" borderId="0" xfId="18" applyNumberFormat="1" applyFont="1" applyAlignment="1">
      <alignment horizontal="center"/>
    </xf>
    <xf numFmtId="10" fontId="16" fillId="2" borderId="3" xfId="15" applyNumberFormat="1" applyFont="1" applyFill="1" applyBorder="1" applyAlignment="1">
      <alignment horizontal="center"/>
    </xf>
    <xf numFmtId="10" fontId="19" fillId="0" borderId="3" xfId="15" applyNumberFormat="1" applyFont="1" applyBorder="1" applyAlignment="1">
      <alignment horizontal="center"/>
    </xf>
    <xf numFmtId="164" fontId="16" fillId="0" borderId="0" xfId="0" applyNumberFormat="1" applyFont="1"/>
    <xf numFmtId="10" fontId="15" fillId="0" borderId="2" xfId="15" applyNumberFormat="1" applyFont="1" applyBorder="1" applyAlignment="1">
      <alignment horizontal="center"/>
    </xf>
    <xf numFmtId="164" fontId="15" fillId="0" borderId="18" xfId="18" applyNumberFormat="1" applyFont="1" applyBorder="1" applyAlignment="1">
      <alignment horizontal="center"/>
    </xf>
    <xf numFmtId="164" fontId="15" fillId="0" borderId="13" xfId="18" applyNumberFormat="1" applyFont="1" applyFill="1" applyBorder="1" applyAlignment="1">
      <alignment horizontal="center"/>
    </xf>
    <xf numFmtId="10" fontId="76" fillId="0" borderId="0" xfId="15" applyNumberFormat="1" applyFont="1" applyBorder="1" applyAlignment="1">
      <alignment horizontal="center"/>
    </xf>
    <xf numFmtId="9" fontId="20" fillId="2" borderId="9" xfId="15" applyFont="1" applyFill="1" applyBorder="1" applyAlignment="1">
      <alignment horizontal="center"/>
    </xf>
    <xf numFmtId="165" fontId="0" fillId="0" borderId="0" xfId="15" applyNumberFormat="1" applyFont="1"/>
    <xf numFmtId="0" fontId="77" fillId="0" borderId="0" xfId="0" applyFont="1" applyAlignment="1">
      <alignment horizontal="center"/>
    </xf>
    <xf numFmtId="165" fontId="55" fillId="4" borderId="0" xfId="15" applyNumberFormat="1" applyFont="1" applyFill="1"/>
    <xf numFmtId="10" fontId="21" fillId="0" borderId="0" xfId="15" applyNumberFormat="1" applyFont="1"/>
    <xf numFmtId="164" fontId="21" fillId="0" borderId="0" xfId="0" applyNumberFormat="1" applyFont="1"/>
    <xf numFmtId="0" fontId="19" fillId="2" borderId="12" xfId="0" applyFont="1" applyFill="1" applyBorder="1"/>
    <xf numFmtId="164" fontId="19" fillId="2" borderId="12" xfId="18" applyNumberFormat="1" applyFont="1" applyFill="1" applyBorder="1" applyAlignment="1">
      <alignment horizontal="center"/>
    </xf>
    <xf numFmtId="164" fontId="56" fillId="2" borderId="12" xfId="18" applyNumberFormat="1" applyFont="1" applyFill="1" applyBorder="1" applyAlignment="1">
      <alignment horizontal="center"/>
    </xf>
    <xf numFmtId="164" fontId="19" fillId="2" borderId="10" xfId="18" applyNumberFormat="1" applyFont="1" applyFill="1" applyBorder="1" applyAlignment="1">
      <alignment horizontal="center"/>
    </xf>
    <xf numFmtId="165" fontId="19" fillId="2" borderId="7" xfId="15" applyNumberFormat="1" applyFont="1" applyFill="1" applyBorder="1" applyAlignment="1">
      <alignment/>
    </xf>
    <xf numFmtId="0" fontId="0" fillId="2" borderId="0" xfId="0" applyFill="1" applyBorder="1"/>
    <xf numFmtId="10" fontId="56" fillId="2" borderId="0" xfId="15" applyNumberFormat="1" applyFont="1" applyFill="1" applyBorder="1" applyAlignment="1">
      <alignment horizontal="center"/>
    </xf>
    <xf numFmtId="3" fontId="0" fillId="2" borderId="0" xfId="18" applyNumberFormat="1" applyFont="1" applyFill="1" applyBorder="1" applyAlignment="1">
      <alignment horizontal="center"/>
    </xf>
    <xf numFmtId="10" fontId="19" fillId="2" borderId="6" xfId="15" applyNumberFormat="1" applyFont="1" applyFill="1" applyBorder="1" applyAlignment="1">
      <alignment horizontal="center"/>
    </xf>
    <xf numFmtId="164" fontId="20" fillId="2" borderId="7" xfId="18" applyNumberFormat="1" applyFont="1" applyFill="1" applyBorder="1" applyAlignment="1">
      <alignment horizontal="center"/>
    </xf>
    <xf numFmtId="165" fontId="0" fillId="2" borderId="5" xfId="15" applyNumberFormat="1" applyFont="1" applyFill="1" applyBorder="1" applyAlignment="1">
      <alignment/>
    </xf>
    <xf numFmtId="38" fontId="0" fillId="2" borderId="3" xfId="18" applyNumberFormat="1" applyFont="1" applyFill="1" applyBorder="1" applyAlignment="1">
      <alignment horizontal="center"/>
    </xf>
    <xf numFmtId="38" fontId="56" fillId="2" borderId="3" xfId="15" applyNumberFormat="1" applyFont="1" applyFill="1" applyBorder="1" applyAlignment="1">
      <alignment horizontal="center"/>
    </xf>
    <xf numFmtId="38" fontId="0" fillId="2" borderId="2" xfId="15" applyNumberFormat="1" applyFont="1" applyFill="1" applyBorder="1" applyAlignment="1">
      <alignment horizontal="center"/>
    </xf>
    <xf numFmtId="38" fontId="20" fillId="2" borderId="11" xfId="18" applyNumberFormat="1" applyFont="1" applyFill="1" applyBorder="1" applyAlignment="1">
      <alignment horizontal="center"/>
    </xf>
    <xf numFmtId="0" fontId="16" fillId="0" borderId="0" xfId="0" applyFont="1" applyBorder="1"/>
    <xf numFmtId="0" fontId="39" fillId="0" borderId="0" xfId="0" applyFont="1" applyBorder="1"/>
    <xf numFmtId="0" fontId="40" fillId="0" borderId="0" xfId="0" applyFont="1" applyBorder="1" applyAlignment="1">
      <alignment horizontal="center" wrapText="1"/>
    </xf>
    <xf numFmtId="0" fontId="0" fillId="0" borderId="0" xfId="0" applyFont="1" applyBorder="1" applyAlignment="1">
      <alignment horizontal="center" wrapText="1"/>
    </xf>
    <xf numFmtId="0" fontId="38" fillId="4" borderId="0" xfId="0" applyFont="1" applyFill="1" applyBorder="1" applyAlignment="1">
      <alignment horizontal="right"/>
    </xf>
    <xf numFmtId="0" fontId="50" fillId="4" borderId="0" xfId="0" applyFont="1" applyFill="1" applyBorder="1" applyAlignment="1">
      <alignment horizontal="left"/>
    </xf>
    <xf numFmtId="0" fontId="3" fillId="0" borderId="0" xfId="0" applyFont="1" applyFill="1" applyBorder="1"/>
    <xf numFmtId="164" fontId="39" fillId="0" borderId="0" xfId="18" applyNumberFormat="1" applyFont="1" applyBorder="1"/>
    <xf numFmtId="0" fontId="76" fillId="0" borderId="0" xfId="0" applyFont="1" applyBorder="1" applyAlignment="1">
      <alignment horizontal="center"/>
    </xf>
    <xf numFmtId="10" fontId="20" fillId="4" borderId="0" xfId="15" applyNumberFormat="1" applyFont="1" applyFill="1" applyBorder="1"/>
    <xf numFmtId="10" fontId="39" fillId="0" borderId="0" xfId="15" applyNumberFormat="1" applyFont="1" applyBorder="1"/>
    <xf numFmtId="10" fontId="20" fillId="0" borderId="0" xfId="15" applyNumberFormat="1" applyFont="1" applyBorder="1"/>
    <xf numFmtId="0" fontId="47" fillId="0" borderId="0" xfId="0" applyFont="1" applyBorder="1"/>
    <xf numFmtId="0" fontId="19" fillId="0" borderId="0" xfId="0" applyFont="1" applyBorder="1" applyAlignment="1">
      <alignment horizontal="center"/>
    </xf>
    <xf numFmtId="0" fontId="43" fillId="0" borderId="0" xfId="0" applyFont="1" applyBorder="1"/>
    <xf numFmtId="0" fontId="49" fillId="0" borderId="0" xfId="0" applyFont="1" applyBorder="1"/>
    <xf numFmtId="0" fontId="20" fillId="0" borderId="0" xfId="0" applyFont="1" applyBorder="1" applyAlignment="1">
      <alignment horizontal="center" wrapText="1"/>
    </xf>
    <xf numFmtId="0" fontId="39" fillId="0" borderId="0" xfId="0" applyFont="1" applyBorder="1" applyAlignment="1">
      <alignment horizontal="center" wrapText="1"/>
    </xf>
    <xf numFmtId="37" fontId="46" fillId="0" borderId="0" xfId="18" applyNumberFormat="1" applyFont="1" applyBorder="1"/>
    <xf numFmtId="164" fontId="0" fillId="0" borderId="0" xfId="18" applyNumberFormat="1" applyFont="1" applyBorder="1"/>
    <xf numFmtId="9" fontId="43" fillId="0" borderId="0" xfId="15" applyFont="1" applyBorder="1" applyAlignment="1">
      <alignment horizontal="left"/>
    </xf>
    <xf numFmtId="3" fontId="27" fillId="0" borderId="0" xfId="18" applyNumberFormat="1" applyFont="1" applyAlignment="1">
      <alignment horizontal="center"/>
    </xf>
    <xf numFmtId="3" fontId="27" fillId="0" borderId="0" xfId="18" applyNumberFormat="1" applyFont="1" applyAlignment="1">
      <alignment horizontal="center" wrapText="1"/>
    </xf>
    <xf numFmtId="165" fontId="27" fillId="0" borderId="0" xfId="15" applyNumberFormat="1" applyFont="1" applyAlignment="1">
      <alignment horizontal="center" wrapText="1"/>
    </xf>
    <xf numFmtId="165" fontId="16" fillId="2" borderId="11" xfId="15" applyNumberFormat="1" applyFont="1" applyFill="1" applyBorder="1" applyAlignment="1">
      <alignment/>
    </xf>
    <xf numFmtId="164" fontId="57" fillId="2" borderId="3" xfId="0" applyNumberFormat="1" applyFont="1" applyFill="1" applyBorder="1"/>
    <xf numFmtId="165" fontId="16" fillId="2" borderId="11" xfId="0" applyNumberFormat="1" applyFont="1" applyFill="1" applyBorder="1" applyAlignment="1">
      <alignment/>
    </xf>
    <xf numFmtId="0" fontId="0" fillId="2" borderId="9" xfId="0" applyFill="1" applyBorder="1"/>
    <xf numFmtId="3" fontId="16" fillId="2" borderId="9" xfId="0" applyNumberFormat="1" applyFont="1" applyFill="1" applyBorder="1" applyAlignment="1">
      <alignment horizontal="center"/>
    </xf>
    <xf numFmtId="164" fontId="57" fillId="2" borderId="9" xfId="0" applyNumberFormat="1" applyFont="1" applyFill="1" applyBorder="1"/>
    <xf numFmtId="164" fontId="16" fillId="2" borderId="9" xfId="0" applyNumberFormat="1" applyFont="1" applyFill="1" applyBorder="1"/>
    <xf numFmtId="164" fontId="20" fillId="2" borderId="9" xfId="0" applyNumberFormat="1" applyFont="1" applyFill="1" applyBorder="1" applyAlignment="1">
      <alignment horizontal="center"/>
    </xf>
    <xf numFmtId="165" fontId="16" fillId="2" borderId="5" xfId="0" applyNumberFormat="1" applyFont="1" applyFill="1" applyBorder="1" applyAlignment="1">
      <alignment/>
    </xf>
    <xf numFmtId="0" fontId="0" fillId="2" borderId="12" xfId="0" applyFill="1" applyBorder="1"/>
    <xf numFmtId="164" fontId="57" fillId="2" borderId="12" xfId="0" applyNumberFormat="1" applyFont="1" applyFill="1" applyBorder="1"/>
    <xf numFmtId="164" fontId="16" fillId="2" borderId="12" xfId="0" applyNumberFormat="1" applyFont="1" applyFill="1" applyBorder="1"/>
    <xf numFmtId="164" fontId="20" fillId="2" borderId="12" xfId="0" applyNumberFormat="1" applyFont="1" applyFill="1" applyBorder="1" applyAlignment="1">
      <alignment horizontal="center"/>
    </xf>
    <xf numFmtId="165" fontId="16" fillId="2" borderId="13" xfId="15" applyNumberFormat="1" applyFont="1" applyFill="1" applyBorder="1" applyAlignment="1">
      <alignment/>
    </xf>
    <xf numFmtId="0" fontId="16" fillId="2" borderId="9" xfId="0" applyFont="1" applyFill="1" applyBorder="1"/>
    <xf numFmtId="0" fontId="16" fillId="2" borderId="12" xfId="0" applyFont="1" applyFill="1" applyBorder="1"/>
    <xf numFmtId="0" fontId="49" fillId="2" borderId="4" xfId="0" applyFont="1" applyFill="1" applyBorder="1"/>
    <xf numFmtId="10" fontId="28" fillId="0" borderId="4" xfId="15" applyNumberFormat="1" applyFont="1" applyBorder="1" applyAlignment="1">
      <alignment horizontal="center" wrapText="1"/>
    </xf>
    <xf numFmtId="164" fontId="38" fillId="0" borderId="5" xfId="18" applyNumberFormat="1" applyFont="1" applyBorder="1" applyAlignment="1">
      <alignment horizontal="center" wrapText="1"/>
    </xf>
    <xf numFmtId="0" fontId="0" fillId="0" borderId="6" xfId="0" applyBorder="1"/>
    <xf numFmtId="0" fontId="0" fillId="0" borderId="7" xfId="0" applyBorder="1"/>
    <xf numFmtId="10" fontId="55" fillId="4" borderId="10" xfId="15" applyNumberFormat="1" applyFont="1" applyFill="1" applyBorder="1" applyAlignment="1">
      <alignment horizontal="center"/>
    </xf>
    <xf numFmtId="164" fontId="38" fillId="0" borderId="13" xfId="18" applyNumberFormat="1" applyFont="1" applyBorder="1" applyAlignment="1">
      <alignment horizontal="center"/>
    </xf>
    <xf numFmtId="164" fontId="16" fillId="2" borderId="3" xfId="0" applyNumberFormat="1" applyFont="1" applyFill="1" applyBorder="1"/>
    <xf numFmtId="10" fontId="16" fillId="2" borderId="3" xfId="15" applyNumberFormat="1" applyFont="1" applyFill="1" applyBorder="1"/>
    <xf numFmtId="10" fontId="16" fillId="2" borderId="11" xfId="15" applyNumberFormat="1" applyFont="1" applyFill="1" applyBorder="1" applyAlignment="1">
      <alignment horizontal="center"/>
    </xf>
    <xf numFmtId="9" fontId="55" fillId="4" borderId="0" xfId="15" applyFont="1" applyFill="1"/>
    <xf numFmtId="9" fontId="81" fillId="4" borderId="0" xfId="15" applyFont="1" applyFill="1"/>
    <xf numFmtId="164" fontId="44" fillId="0" borderId="12" xfId="18" applyNumberFormat="1" applyFont="1" applyBorder="1"/>
    <xf numFmtId="0" fontId="16" fillId="0" borderId="12" xfId="0" applyFont="1" applyBorder="1"/>
    <xf numFmtId="165" fontId="49" fillId="0" borderId="12" xfId="15" applyNumberFormat="1" applyFont="1" applyBorder="1" applyAlignment="1">
      <alignment horizontal="right"/>
    </xf>
    <xf numFmtId="0" fontId="0" fillId="0" borderId="1" xfId="0" applyBorder="1"/>
    <xf numFmtId="164" fontId="49" fillId="0" borderId="0" xfId="18" applyNumberFormat="1" applyFont="1" applyBorder="1" applyAlignment="1">
      <alignment horizontal="center"/>
    </xf>
    <xf numFmtId="0" fontId="46" fillId="0" borderId="0" xfId="0" applyFont="1" applyBorder="1"/>
    <xf numFmtId="0" fontId="29" fillId="0" borderId="4" xfId="0" applyFont="1" applyBorder="1"/>
    <xf numFmtId="0" fontId="40" fillId="0" borderId="9" xfId="0" applyFont="1" applyBorder="1"/>
    <xf numFmtId="0" fontId="0" fillId="0" borderId="9" xfId="0" applyFont="1" applyBorder="1"/>
    <xf numFmtId="0" fontId="16" fillId="0" borderId="9" xfId="0" applyFont="1" applyBorder="1"/>
    <xf numFmtId="0" fontId="39" fillId="0" borderId="9" xfId="0" applyFont="1" applyBorder="1"/>
    <xf numFmtId="164" fontId="43" fillId="0" borderId="9" xfId="18" applyNumberFormat="1" applyFont="1" applyBorder="1"/>
    <xf numFmtId="164" fontId="44" fillId="0" borderId="9" xfId="18" applyNumberFormat="1" applyFont="1" applyFill="1" applyBorder="1" applyAlignment="1">
      <alignment horizontal="center"/>
    </xf>
    <xf numFmtId="164" fontId="44" fillId="0" borderId="5" xfId="18" applyNumberFormat="1" applyFont="1" applyFill="1" applyBorder="1" applyAlignment="1">
      <alignment horizontal="center"/>
    </xf>
    <xf numFmtId="0" fontId="29" fillId="0" borderId="6" xfId="0" applyFont="1" applyBorder="1"/>
    <xf numFmtId="164" fontId="43" fillId="0" borderId="7" xfId="18" applyNumberFormat="1" applyFont="1" applyBorder="1" applyAlignment="1">
      <alignment horizontal="center" wrapText="1"/>
    </xf>
    <xf numFmtId="0" fontId="3" fillId="4" borderId="6" xfId="0" applyFont="1" applyFill="1" applyBorder="1"/>
    <xf numFmtId="0" fontId="45" fillId="0" borderId="6" xfId="0" applyFont="1" applyBorder="1"/>
    <xf numFmtId="164" fontId="43" fillId="0" borderId="7" xfId="18" applyNumberFormat="1" applyFont="1" applyBorder="1"/>
    <xf numFmtId="10" fontId="43" fillId="0" borderId="7" xfId="15" applyNumberFormat="1" applyFont="1" applyBorder="1"/>
    <xf numFmtId="10" fontId="46" fillId="0" borderId="7" xfId="15" applyNumberFormat="1" applyFont="1" applyBorder="1"/>
    <xf numFmtId="164" fontId="46" fillId="0" borderId="7" xfId="18" applyNumberFormat="1" applyFont="1" applyBorder="1"/>
    <xf numFmtId="10" fontId="44" fillId="0" borderId="7" xfId="15" applyNumberFormat="1" applyFont="1" applyBorder="1"/>
    <xf numFmtId="165" fontId="43" fillId="0" borderId="7" xfId="15" applyNumberFormat="1" applyFont="1" applyBorder="1" applyAlignment="1">
      <alignment horizontal="right"/>
    </xf>
    <xf numFmtId="165" fontId="46" fillId="0" borderId="7" xfId="15" applyNumberFormat="1" applyFont="1" applyBorder="1" applyAlignment="1">
      <alignment horizontal="right"/>
    </xf>
    <xf numFmtId="165" fontId="49" fillId="0" borderId="7" xfId="15" applyNumberFormat="1" applyFont="1" applyBorder="1" applyAlignment="1">
      <alignment horizontal="right"/>
    </xf>
    <xf numFmtId="0" fontId="29" fillId="0" borderId="10" xfId="0" applyFont="1" applyBorder="1"/>
    <xf numFmtId="165" fontId="49" fillId="0" borderId="13" xfId="15" applyNumberFormat="1" applyFont="1" applyBorder="1" applyAlignment="1">
      <alignment horizontal="right"/>
    </xf>
    <xf numFmtId="0" fontId="58" fillId="0" borderId="0" xfId="0" applyFont="1" applyFill="1" applyAlignment="1">
      <alignment horizontal="left" vertical="top" wrapText="1"/>
    </xf>
    <xf numFmtId="0" fontId="78" fillId="9" borderId="20" xfId="0" applyFont="1" applyFill="1" applyBorder="1" applyAlignment="1">
      <alignment horizontal="right"/>
    </xf>
    <xf numFmtId="0" fontId="78" fillId="9" borderId="21" xfId="0" applyFont="1" applyFill="1" applyBorder="1" applyAlignment="1">
      <alignment horizontal="right"/>
    </xf>
    <xf numFmtId="0" fontId="78" fillId="9" borderId="22" xfId="0" applyFont="1" applyFill="1" applyBorder="1" applyAlignment="1">
      <alignment horizontal="right"/>
    </xf>
    <xf numFmtId="0" fontId="78" fillId="9" borderId="23" xfId="0" applyFont="1" applyFill="1" applyBorder="1" applyAlignment="1">
      <alignment horizontal="right"/>
    </xf>
    <xf numFmtId="14" fontId="79" fillId="9" borderId="24" xfId="0" applyNumberFormat="1" applyFont="1" applyFill="1" applyBorder="1" applyAlignment="1">
      <alignment horizontal="right"/>
    </xf>
    <xf numFmtId="14" fontId="79" fillId="9" borderId="25" xfId="0" applyNumberFormat="1" applyFont="1" applyFill="1" applyBorder="1" applyAlignment="1">
      <alignment horizontal="right"/>
    </xf>
    <xf numFmtId="0" fontId="58" fillId="0" borderId="0" xfId="0" applyFont="1" applyAlignment="1">
      <alignment horizontal="left" vertical="top" wrapText="1"/>
    </xf>
    <xf numFmtId="164" fontId="49" fillId="0" borderId="0" xfId="18" applyNumberFormat="1" applyFont="1" applyBorder="1" applyAlignment="1">
      <alignment horizontal="left"/>
    </xf>
    <xf numFmtId="164" fontId="49" fillId="0" borderId="7" xfId="18" applyNumberFormat="1" applyFont="1" applyBorder="1" applyAlignment="1">
      <alignment horizontal="left"/>
    </xf>
    <xf numFmtId="0" fontId="78" fillId="9" borderId="26" xfId="0" applyFont="1" applyFill="1" applyBorder="1" applyAlignment="1">
      <alignment horizontal="right"/>
    </xf>
    <xf numFmtId="0" fontId="78" fillId="9" borderId="0" xfId="0" applyFont="1" applyFill="1" applyBorder="1" applyAlignment="1">
      <alignment horizontal="right"/>
    </xf>
    <xf numFmtId="14" fontId="79" fillId="9" borderId="22" xfId="0" applyNumberFormat="1" applyFont="1" applyFill="1" applyBorder="1" applyAlignment="1">
      <alignment horizontal="right"/>
    </xf>
    <xf numFmtId="14" fontId="79" fillId="9" borderId="0" xfId="0" applyNumberFormat="1" applyFont="1" applyFill="1" applyBorder="1" applyAlignment="1">
      <alignment horizontal="right"/>
    </xf>
    <xf numFmtId="14" fontId="79" fillId="9" borderId="23" xfId="0" applyNumberFormat="1" applyFont="1" applyFill="1" applyBorder="1" applyAlignment="1">
      <alignment horizontal="right"/>
    </xf>
    <xf numFmtId="0" fontId="79" fillId="9" borderId="15" xfId="0" applyFont="1" applyFill="1" applyBorder="1" applyAlignment="1">
      <alignment horizontal="right"/>
    </xf>
    <xf numFmtId="0" fontId="79" fillId="9" borderId="25" xfId="0" applyFont="1" applyFill="1" applyBorder="1" applyAlignment="1">
      <alignment horizontal="right"/>
    </xf>
    <xf numFmtId="0" fontId="10" fillId="0" borderId="0" xfId="0" applyFont="1" applyAlignment="1">
      <alignment horizontal="left" vertical="top" wrapText="1"/>
    </xf>
    <xf numFmtId="0" fontId="5" fillId="0" borderId="1" xfId="0" applyFont="1" applyBorder="1" applyAlignment="1">
      <alignment horizont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3" borderId="11" xfId="0" applyFont="1" applyFill="1" applyBorder="1" applyAlignment="1">
      <alignment horizontal="center"/>
    </xf>
    <xf numFmtId="14" fontId="3" fillId="0" borderId="0" xfId="0" applyNumberFormat="1" applyFont="1" applyAlignment="1">
      <alignment horizontal="center"/>
    </xf>
    <xf numFmtId="0" fontId="78" fillId="10" borderId="20" xfId="0" applyFont="1" applyFill="1" applyBorder="1" applyAlignment="1">
      <alignment horizontal="right"/>
    </xf>
    <xf numFmtId="0" fontId="78" fillId="10" borderId="26" xfId="0" applyFont="1" applyFill="1" applyBorder="1" applyAlignment="1">
      <alignment horizontal="right"/>
    </xf>
    <xf numFmtId="0" fontId="78" fillId="10" borderId="21" xfId="0" applyFont="1" applyFill="1" applyBorder="1" applyAlignment="1">
      <alignment horizontal="right"/>
    </xf>
    <xf numFmtId="0" fontId="78" fillId="10" borderId="22" xfId="0" applyFont="1" applyFill="1" applyBorder="1" applyAlignment="1">
      <alignment horizontal="right"/>
    </xf>
    <xf numFmtId="0" fontId="78" fillId="10" borderId="0" xfId="0" applyFont="1" applyFill="1" applyBorder="1" applyAlignment="1">
      <alignment horizontal="right"/>
    </xf>
    <xf numFmtId="0" fontId="78" fillId="10" borderId="23" xfId="0" applyFont="1" applyFill="1" applyBorder="1" applyAlignment="1">
      <alignment horizontal="right"/>
    </xf>
    <xf numFmtId="14" fontId="79" fillId="10" borderId="24" xfId="0" applyNumberFormat="1" applyFont="1" applyFill="1" applyBorder="1" applyAlignment="1">
      <alignment horizontal="right"/>
    </xf>
    <xf numFmtId="14" fontId="79" fillId="10" borderId="15" xfId="0" applyNumberFormat="1" applyFont="1" applyFill="1" applyBorder="1" applyAlignment="1">
      <alignment horizontal="right"/>
    </xf>
    <xf numFmtId="14" fontId="79" fillId="10" borderId="25" xfId="0" applyNumberFormat="1" applyFont="1" applyFill="1" applyBorder="1" applyAlignment="1">
      <alignment horizontal="right"/>
    </xf>
    <xf numFmtId="0" fontId="19" fillId="0" borderId="0" xfId="0" applyFont="1" applyAlignment="1">
      <alignment horizontal="left" vertical="top" wrapText="1"/>
    </xf>
    <xf numFmtId="14" fontId="79" fillId="9" borderId="15" xfId="0" applyNumberFormat="1" applyFont="1" applyFill="1" applyBorder="1" applyAlignment="1">
      <alignment horizontal="right"/>
    </xf>
    <xf numFmtId="0" fontId="78" fillId="9" borderId="0" xfId="0" applyFont="1" applyFill="1" applyAlignment="1">
      <alignment horizontal="right"/>
    </xf>
    <xf numFmtId="14" fontId="79" fillId="9" borderId="0" xfId="0" applyNumberFormat="1" applyFont="1" applyFill="1" applyAlignment="1">
      <alignment horizontal="right"/>
    </xf>
    <xf numFmtId="0" fontId="16" fillId="0" borderId="0" xfId="0" applyFont="1" applyFill="1" applyAlignment="1">
      <alignment horizontal="left" vertical="top" wrapText="1"/>
    </xf>
    <xf numFmtId="0" fontId="68" fillId="0" borderId="27" xfId="0" applyFont="1" applyFill="1" applyBorder="1" applyAlignment="1">
      <alignment horizontal="center" vertical="top" wrapText="1"/>
    </xf>
    <xf numFmtId="0" fontId="68" fillId="0" borderId="28" xfId="0" applyFont="1" applyFill="1" applyBorder="1" applyAlignment="1">
      <alignment horizontal="center" vertical="top" wrapText="1"/>
    </xf>
    <xf numFmtId="0" fontId="68" fillId="0" borderId="29" xfId="0" applyFont="1" applyFill="1" applyBorder="1" applyAlignment="1">
      <alignment horizontal="center" vertical="top" wrapText="1"/>
    </xf>
    <xf numFmtId="0" fontId="74" fillId="0" borderId="2" xfId="0" applyFont="1" applyBorder="1" applyAlignment="1">
      <alignment horizontal="left"/>
    </xf>
    <xf numFmtId="0" fontId="74" fillId="0" borderId="3" xfId="0" applyFont="1" applyBorder="1" applyAlignment="1">
      <alignment horizontal="left"/>
    </xf>
    <xf numFmtId="0" fontId="74" fillId="0" borderId="11" xfId="0" applyFont="1" applyBorder="1" applyAlignment="1">
      <alignment horizontal="left"/>
    </xf>
  </cellXfs>
  <cellStyles count="12">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 name="Comma 2" xfId="21"/>
    <cellStyle name="Percent 2" xfId="22"/>
    <cellStyle name="Normal 3" xfId="23"/>
    <cellStyle name="Percent 3" xfId="24"/>
    <cellStyle name="Normal 4" xfId="25"/>
  </cellStyles>
  <dxfs count="26">
    <dxf>
      <font>
        <color rgb="FF006100"/>
      </font>
      <fill>
        <patternFill>
          <bgColor rgb="FFC6EFCE"/>
        </patternFill>
      </fill>
    </dxf>
    <dxf>
      <font>
        <b/>
        <i val="0"/>
        <color theme="9" tint="-0.24993999302387238"/>
      </font>
      <fill>
        <patternFill>
          <bgColor rgb="FFFFFF99"/>
        </patternFill>
      </fill>
    </dxf>
    <dxf>
      <font>
        <b/>
        <i val="0"/>
        <color rgb="FFC00000"/>
      </font>
      <fill>
        <patternFill>
          <bgColor rgb="FFFCAAAA"/>
        </patternFill>
      </fill>
    </dxf>
    <dxf>
      <fill>
        <patternFill>
          <bgColor rgb="FFFFFF00"/>
        </patternFill>
      </fill>
    </dxf>
    <dxf>
      <fill>
        <patternFill>
          <bgColor rgb="FFFFC000"/>
        </patternFill>
      </fill>
    </dxf>
    <dxf>
      <fill>
        <patternFill>
          <bgColor rgb="FFFF0000"/>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i val="0"/>
        <color rgb="FFFF0000"/>
      </font>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i val="0"/>
        <color rgb="FFFF0000"/>
      </font>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i val="0"/>
        <color rgb="FFFF0000"/>
      </font>
    </dxf>
    <dxf>
      <font>
        <color theme="6" tint="-0.4999699890613556"/>
      </font>
      <fill>
        <patternFill>
          <bgColor theme="6" tint="0.3999499976634979"/>
        </patternFill>
      </fill>
    </dxf>
    <dxf>
      <fill>
        <patternFill>
          <bgColor theme="6"/>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i val="0"/>
        <color rgb="FFFF0000"/>
      </font>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1" Type="http://schemas.openxmlformats.org/officeDocument/2006/relationships/styles" Target="styles.xml" /><Relationship Id="rId10" Type="http://schemas.openxmlformats.org/officeDocument/2006/relationships/worksheet" Target="worksheets/sheet9.xml" /><Relationship Id="rId13" Type="http://schemas.openxmlformats.org/officeDocument/2006/relationships/customXml" Target="../customXml/item1.xml" /><Relationship Id="rId12" Type="http://schemas.openxmlformats.org/officeDocument/2006/relationships/sharedStrings" Target="sharedStrings.xml" /><Relationship Id="rId1" Type="http://schemas.openxmlformats.org/officeDocument/2006/relationships/theme" Target="theme/theme1.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9" Type="http://schemas.openxmlformats.org/officeDocument/2006/relationships/worksheet" Target="worksheets/sheet8.xml" /><Relationship Id="rId15" Type="http://schemas.openxmlformats.org/officeDocument/2006/relationships/customXml" Target="../customXml/item3.xml" /><Relationship Id="rId14" Type="http://schemas.openxmlformats.org/officeDocument/2006/relationships/customXml" Target="../customXml/item2.xml" /><Relationship Id="rId17" Type="http://schemas.openxmlformats.org/officeDocument/2006/relationships/calcChain" Target="calcChain.xml" /><Relationship Id="rId16" Type="http://schemas.openxmlformats.org/officeDocument/2006/relationships/customXml" Target="../customXml/item4.xml" /><Relationship Id="rId5" Type="http://schemas.openxmlformats.org/officeDocument/2006/relationships/worksheet" Target="worksheets/sheet4.xml" /><Relationship Id="rId6" Type="http://schemas.openxmlformats.org/officeDocument/2006/relationships/worksheet" Target="worksheets/sheet5.xml" /><Relationship Id="rId7" Type="http://schemas.openxmlformats.org/officeDocument/2006/relationships/worksheet" Target="worksheets/sheet6.xml" /><Relationship Id="rId8" Type="http://schemas.openxmlformats.org/officeDocument/2006/relationships/worksheet" Target="worksheets/sheet7.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_rels/drawing2.xml.rels><?xml version="1.0" encoding="UTF-8" standalone="yes"?><Relationships xmlns="http://schemas.openxmlformats.org/package/2006/relationships"><Relationship Id="rId1" Type="http://schemas.openxmlformats.org/officeDocument/2006/relationships/image" Target="../media/image2.png" /></Relationships>
</file>

<file path=xl/drawings/_rels/drawing3.xml.rels><?xml version="1.0" encoding="UTF-8" standalone="yes"?><Relationships xmlns="http://schemas.openxmlformats.org/package/2006/relationships"><Relationship Id="rId1" Type="http://schemas.openxmlformats.org/officeDocument/2006/relationships/image" Target="../media/image2.png" /></Relationships>
</file>

<file path=xl/drawings/_rels/drawing4.xml.rels><?xml version="1.0" encoding="UTF-8" standalone="yes"?><Relationships xmlns="http://schemas.openxmlformats.org/package/2006/relationships"><Relationship Id="rId1" Type="http://schemas.openxmlformats.org/officeDocument/2006/relationships/image" Target="../media/image2.png" /></Relationships>
</file>

<file path=xl/drawings/_rels/drawing5.xml.rels><?xml version="1.0" encoding="UTF-8" standalone="yes"?><Relationships xmlns="http://schemas.openxmlformats.org/package/2006/relationships"><Relationship Id="rId1" Type="http://schemas.openxmlformats.org/officeDocument/2006/relationships/image" Target="../media/image2.png" /></Relationships>
</file>

<file path=xl/drawings/_rels/drawing6.xml.rels><?xml version="1.0" encoding="UTF-8" standalone="yes"?><Relationships xmlns="http://schemas.openxmlformats.org/package/2006/relationships"><Relationship Id="rId1" Type="http://schemas.openxmlformats.org/officeDocument/2006/relationships/image" Target="../media/image2.png" /></Relationships>
</file>

<file path=xl/drawings/_rels/drawing7.xml.rels><?xml version="1.0" encoding="UTF-8" standalone="yes"?><Relationships xmlns="http://schemas.openxmlformats.org/package/2006/relationships"><Relationship Id="rId1" Type="http://schemas.openxmlformats.org/officeDocument/2006/relationships/image" Target="../media/image2.png" /></Relationships>
</file>

<file path=xl/drawings/_rels/drawing8.xml.rels><?xml version="1.0" encoding="UTF-8" standalone="yes"?><Relationships xmlns="http://schemas.openxmlformats.org/package/2006/relationships"><Relationship Id="rId1" Type="http://schemas.openxmlformats.org/officeDocument/2006/relationships/image" Target="../media/image2.png" /></Relationships>
</file>

<file path=xl/drawings/_rels/drawing9.xml.rels><?xml version="1.0" encoding="UTF-8" standalone="yes"?><Relationships xmlns="http://schemas.openxmlformats.org/package/2006/relationships"><Relationship Id="rId1"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14942</xdr:colOff>
      <xdr:row>5</xdr:row>
      <xdr:rowOff>14942</xdr:rowOff>
    </xdr:from>
    <xdr:to>
      <xdr:col>1</xdr:col>
      <xdr:colOff>1306371</xdr:colOff>
      <xdr:row>7</xdr:row>
      <xdr:rowOff>179721</xdr:rowOff>
    </xdr:to>
    <xdr:pic>
      <xdr:nvPicPr>
        <xdr:cNvPr id="2" name="Picture 1"/>
        <xdr:cNvPicPr>
          <a:picLocks noChangeAspect="1"/>
        </xdr:cNvPicPr>
      </xdr:nvPicPr>
      <xdr:blipFill>
        <a:blip r:embed="rId1"/>
        <a:stretch>
          <a:fillRect/>
        </a:stretch>
      </xdr:blipFill>
      <xdr:spPr>
        <a:xfrm>
          <a:off x="1362075" y="981075"/>
          <a:ext cx="1295400" cy="695325"/>
        </a:xfrm>
        <a:prstGeom prst="rect"/>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22412</xdr:colOff>
      <xdr:row>0</xdr:row>
      <xdr:rowOff>11206</xdr:rowOff>
    </xdr:from>
    <xdr:to>
      <xdr:col>3</xdr:col>
      <xdr:colOff>874058</xdr:colOff>
      <xdr:row>3</xdr:row>
      <xdr:rowOff>22583</xdr:rowOff>
    </xdr:to>
    <xdr:pic>
      <xdr:nvPicPr>
        <xdr:cNvPr id="3" name="Picture 2"/>
        <xdr:cNvPicPr>
          <a:picLocks noChangeAspect="1"/>
        </xdr:cNvPicPr>
      </xdr:nvPicPr>
      <xdr:blipFill>
        <a:blip r:embed="rId1"/>
        <a:stretch>
          <a:fillRect/>
        </a:stretch>
      </xdr:blipFill>
      <xdr:spPr>
        <a:xfrm>
          <a:off x="1209675" y="9525"/>
          <a:ext cx="1647825" cy="742950"/>
        </a:xfrm>
        <a:prstGeom prst="rect"/>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1042146</xdr:colOff>
      <xdr:row>0</xdr:row>
      <xdr:rowOff>11206</xdr:rowOff>
    </xdr:from>
    <xdr:to>
      <xdr:col>3</xdr:col>
      <xdr:colOff>986116</xdr:colOff>
      <xdr:row>3</xdr:row>
      <xdr:rowOff>11377</xdr:rowOff>
    </xdr:to>
    <xdr:pic>
      <xdr:nvPicPr>
        <xdr:cNvPr id="3" name="Picture 2"/>
        <xdr:cNvPicPr>
          <a:picLocks noChangeAspect="1"/>
        </xdr:cNvPicPr>
      </xdr:nvPicPr>
      <xdr:blipFill>
        <a:blip r:embed="rId1"/>
        <a:stretch>
          <a:fillRect/>
        </a:stretch>
      </xdr:blipFill>
      <xdr:spPr>
        <a:xfrm>
          <a:off x="1038225" y="9525"/>
          <a:ext cx="1781175" cy="742950"/>
        </a:xfrm>
        <a:prstGeom prst="rect"/>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0</xdr:rowOff>
    </xdr:from>
    <xdr:to>
      <xdr:col>5</xdr:col>
      <xdr:colOff>571499</xdr:colOff>
      <xdr:row>3</xdr:row>
      <xdr:rowOff>171</xdr:rowOff>
    </xdr:to>
    <xdr:pic>
      <xdr:nvPicPr>
        <xdr:cNvPr id="3" name="Picture 2"/>
        <xdr:cNvPicPr>
          <a:picLocks noChangeAspect="1"/>
        </xdr:cNvPicPr>
      </xdr:nvPicPr>
      <xdr:blipFill>
        <a:blip r:embed="rId1"/>
        <a:stretch>
          <a:fillRect/>
        </a:stretch>
      </xdr:blipFill>
      <xdr:spPr>
        <a:xfrm>
          <a:off x="1200150" y="0"/>
          <a:ext cx="1714500" cy="742950"/>
        </a:xfrm>
        <a:prstGeom prst="rect"/>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0</xdr:rowOff>
    </xdr:from>
    <xdr:to>
      <xdr:col>3</xdr:col>
      <xdr:colOff>986117</xdr:colOff>
      <xdr:row>3</xdr:row>
      <xdr:rowOff>171</xdr:rowOff>
    </xdr:to>
    <xdr:pic>
      <xdr:nvPicPr>
        <xdr:cNvPr id="3" name="Picture 2"/>
        <xdr:cNvPicPr>
          <a:picLocks noChangeAspect="1"/>
        </xdr:cNvPicPr>
      </xdr:nvPicPr>
      <xdr:blipFill>
        <a:blip r:embed="rId1"/>
        <a:stretch>
          <a:fillRect/>
        </a:stretch>
      </xdr:blipFill>
      <xdr:spPr>
        <a:xfrm>
          <a:off x="1190625" y="0"/>
          <a:ext cx="1638300" cy="742950"/>
        </a:xfrm>
        <a:prstGeom prst="rect"/>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0</xdr:rowOff>
    </xdr:from>
    <xdr:to>
      <xdr:col>2</xdr:col>
      <xdr:colOff>1109382</xdr:colOff>
      <xdr:row>3</xdr:row>
      <xdr:rowOff>171</xdr:rowOff>
    </xdr:to>
    <xdr:pic>
      <xdr:nvPicPr>
        <xdr:cNvPr id="3" name="Picture 2"/>
        <xdr:cNvPicPr>
          <a:picLocks noChangeAspect="1"/>
        </xdr:cNvPicPr>
      </xdr:nvPicPr>
      <xdr:blipFill>
        <a:blip r:embed="rId1"/>
        <a:stretch>
          <a:fillRect/>
        </a:stretch>
      </xdr:blipFill>
      <xdr:spPr>
        <a:xfrm>
          <a:off x="1190625" y="0"/>
          <a:ext cx="1619250" cy="742950"/>
        </a:xfrm>
        <a:prstGeom prst="rect"/>
      </xdr:spPr>
    </xdr:pic>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0</xdr:rowOff>
    </xdr:from>
    <xdr:to>
      <xdr:col>1</xdr:col>
      <xdr:colOff>1557617</xdr:colOff>
      <xdr:row>3</xdr:row>
      <xdr:rowOff>171</xdr:rowOff>
    </xdr:to>
    <xdr:pic>
      <xdr:nvPicPr>
        <xdr:cNvPr id="3" name="Picture 2"/>
        <xdr:cNvPicPr>
          <a:picLocks noChangeAspect="1"/>
        </xdr:cNvPicPr>
      </xdr:nvPicPr>
      <xdr:blipFill>
        <a:blip r:embed="rId1"/>
        <a:stretch>
          <a:fillRect/>
        </a:stretch>
      </xdr:blipFill>
      <xdr:spPr>
        <a:xfrm>
          <a:off x="1190625" y="0"/>
          <a:ext cx="1562100" cy="742950"/>
        </a:xfrm>
        <a:prstGeom prst="rect"/>
      </xdr:spPr>
    </xdr:pic>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0</xdr:colOff>
      <xdr:row>0</xdr:row>
      <xdr:rowOff>0</xdr:rowOff>
    </xdr:from>
    <xdr:to>
      <xdr:col>1</xdr:col>
      <xdr:colOff>1557617</xdr:colOff>
      <xdr:row>3</xdr:row>
      <xdr:rowOff>11377</xdr:rowOff>
    </xdr:to>
    <xdr:pic>
      <xdr:nvPicPr>
        <xdr:cNvPr id="4" name="Picture 3"/>
        <xdr:cNvPicPr>
          <a:picLocks noChangeAspect="1"/>
        </xdr:cNvPicPr>
      </xdr:nvPicPr>
      <xdr:blipFill>
        <a:blip r:embed="rId1"/>
        <a:stretch>
          <a:fillRect/>
        </a:stretch>
      </xdr:blipFill>
      <xdr:spPr>
        <a:xfrm>
          <a:off x="238125" y="0"/>
          <a:ext cx="1562100" cy="742950"/>
        </a:xfrm>
        <a:prstGeom prst="rect"/>
      </xdr:spPr>
    </xdr:pic>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1</xdr:col>
      <xdr:colOff>1</xdr:colOff>
      <xdr:row>0</xdr:row>
      <xdr:rowOff>0</xdr:rowOff>
    </xdr:from>
    <xdr:to>
      <xdr:col>4</xdr:col>
      <xdr:colOff>336177</xdr:colOff>
      <xdr:row>3</xdr:row>
      <xdr:rowOff>171</xdr:rowOff>
    </xdr:to>
    <xdr:pic>
      <xdr:nvPicPr>
        <xdr:cNvPr id="3" name="Picture 2"/>
        <xdr:cNvPicPr>
          <a:picLocks noChangeAspect="1"/>
        </xdr:cNvPicPr>
      </xdr:nvPicPr>
      <xdr:blipFill>
        <a:blip r:embed="rId1"/>
        <a:stretch>
          <a:fillRect/>
        </a:stretch>
      </xdr:blipFill>
      <xdr:spPr>
        <a:xfrm>
          <a:off x="1190625" y="0"/>
          <a:ext cx="1724025" cy="742950"/>
        </a:xfrm>
        <a:prstGeom prst="rec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 /><Relationship Id="rId2"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drawing" Target="../drawings/drawing4.xml" /><Relationship Id="rId2"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5.xml" /><Relationship Id="rId2"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6.xml" /><Relationship Id="rId2"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7.xml" /><Relationship Id="rId2"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8.xml" /><Relationship Id="rId2"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drawing" Target="../drawings/drawing9.xml" /><Relationship Id="rId2"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mc:Ignorable="x14ac" xr:uid="{5cb8426a-506a-4575-9932-6a99791a3afc}">
  <sheetPr>
    <pageSetUpPr fitToPage="1"/>
  </sheetPr>
  <dimension ref="A1:C32"/>
  <sheetViews>
    <sheetView zoomScale="85" zoomScaleNormal="85" workbookViewId="0" topLeftCell="A1">
      <selection pane="topLeft" activeCell="A7" sqref="A7"/>
    </sheetView>
  </sheetViews>
  <sheetFormatPr defaultRowHeight="15"/>
  <cols>
    <col min="1" max="1" width="17.625" bestFit="1" customWidth="1"/>
    <col min="2" max="2" width="27.375" customWidth="1"/>
    <col min="3" max="3" width="114.375" style="205" customWidth="1"/>
    <col min="4" max="4" width="3.375" style="205" customWidth="1"/>
    <col min="5" max="109" width="3.375" customWidth="1"/>
  </cols>
  <sheetData>
    <row r="1" spans="1:2" ht="15">
      <c r="A1" t="s">
        <v>169</v>
      </c>
      <c r="B1" s="210">
        <f ca="1">TODAY()</f>
        <v>44712.0</v>
      </c>
    </row>
    <row r="2" spans="1:2" ht="15">
      <c r="A2" t="s">
        <v>203</v>
      </c>
      <c r="B2" s="210">
        <v>43830.0</v>
      </c>
    </row>
    <row r="3" spans="1:2" ht="15">
      <c r="A3" t="s">
        <v>202</v>
      </c>
      <c r="B3" s="210">
        <v>43738.0</v>
      </c>
    </row>
    <row r="4" spans="1:2" ht="15">
      <c r="A4" t="s">
        <v>168</v>
      </c>
      <c r="B4" s="209" t="s">
        <v>270</v>
      </c>
    </row>
    <row r="5" spans="2:2" ht="15.75" thickBot="1">
      <c r="B5" s="209" t="s">
        <v>314</v>
      </c>
    </row>
    <row r="6" spans="2:3" ht="21">
      <c r="B6" s="486" t="str">
        <f>B4</f>
        <v>Sample Bank</v>
      </c>
      <c r="C6" s="487"/>
    </row>
    <row r="7" spans="2:3" ht="21">
      <c r="B7" s="488" t="s">
        <v>192</v>
      </c>
      <c r="C7" s="489"/>
    </row>
    <row r="8" spans="2:3" ht="16.5" thickBot="1">
      <c r="B8" s="490">
        <f>B2</f>
        <v>43830.0</v>
      </c>
      <c r="C8" s="491"/>
    </row>
    <row r="9" spans="2:3" ht="15">
      <c r="B9" s="272"/>
      <c r="C9" s="272"/>
    </row>
    <row r="10" spans="2:3" ht="117.75" customHeight="1">
      <c r="B10" s="492" t="s">
        <v>172</v>
      </c>
      <c r="C10" s="492"/>
    </row>
    <row r="11" spans="3:3" ht="7.5" customHeight="1">
      <c r="C11" s="206"/>
    </row>
    <row r="12" spans="2:3" ht="114.75" customHeight="1">
      <c r="B12" s="492" t="s">
        <v>176</v>
      </c>
      <c r="C12" s="492"/>
    </row>
    <row r="13" spans="3:3" ht="7.5" customHeight="1">
      <c r="C13" s="206"/>
    </row>
    <row r="14" spans="2:3" ht="81" customHeight="1">
      <c r="B14" s="485" t="s">
        <v>173</v>
      </c>
      <c r="C14" s="485"/>
    </row>
    <row r="15" spans="2:3" ht="7.5" customHeight="1">
      <c r="B15" s="256"/>
      <c r="C15" s="271"/>
    </row>
    <row r="16" spans="2:3" ht="67.5" customHeight="1">
      <c r="B16" s="485" t="s">
        <v>268</v>
      </c>
      <c r="C16" s="485"/>
    </row>
    <row r="17" spans="2:3" ht="7.5" customHeight="1">
      <c r="B17" s="256"/>
      <c r="C17" s="271"/>
    </row>
    <row r="18" spans="2:3" ht="98.25" customHeight="1">
      <c r="B18" s="485" t="s">
        <v>174</v>
      </c>
      <c r="C18" s="485"/>
    </row>
    <row r="19" spans="2:3" ht="7.5" customHeight="1">
      <c r="B19" s="256"/>
      <c r="C19" s="271"/>
    </row>
    <row r="20" spans="2:3" ht="66" customHeight="1">
      <c r="B20" s="485" t="s">
        <v>178</v>
      </c>
      <c r="C20" s="485"/>
    </row>
    <row r="21" spans="2:3" ht="7.5" customHeight="1">
      <c r="B21" s="256"/>
      <c r="C21" s="271"/>
    </row>
    <row r="22" spans="2:3" ht="112.5" customHeight="1">
      <c r="B22" s="485" t="s">
        <v>177</v>
      </c>
      <c r="C22" s="485"/>
    </row>
    <row r="23" spans="2:3" ht="7.5" customHeight="1">
      <c r="B23" s="256"/>
      <c r="C23" s="271"/>
    </row>
    <row r="24" spans="2:3" ht="66" customHeight="1">
      <c r="B24" s="485" t="s">
        <v>200</v>
      </c>
      <c r="C24" s="485"/>
    </row>
    <row r="25" spans="2:3" ht="7.5" customHeight="1">
      <c r="B25" s="256"/>
      <c r="C25" s="271"/>
    </row>
    <row r="26" spans="2:3" ht="65.25" customHeight="1">
      <c r="B26" s="485" t="s">
        <v>175</v>
      </c>
      <c r="C26" s="485"/>
    </row>
    <row r="27" spans="2:3" ht="7.5" customHeight="1">
      <c r="B27" s="256"/>
      <c r="C27" s="271"/>
    </row>
    <row r="28" spans="2:3" ht="148.5" customHeight="1">
      <c r="B28" s="485" t="s">
        <v>190</v>
      </c>
      <c r="C28" s="485"/>
    </row>
    <row r="29" spans="3:3" ht="15.75">
      <c r="C29" s="206"/>
    </row>
    <row r="30" spans="3:3" ht="15.75">
      <c r="C30" s="207"/>
    </row>
    <row r="31" spans="3:3" ht="15.75">
      <c r="C31" s="206"/>
    </row>
    <row r="32" spans="3:3" ht="15.75">
      <c r="C32" s="206"/>
    </row>
  </sheetData>
  <mergeCells count="13">
    <mergeCell ref="B6:C6"/>
    <mergeCell ref="B7:C7"/>
    <mergeCell ref="B8:C8"/>
    <mergeCell ref="B10:C10"/>
    <mergeCell ref="B12:C12"/>
    <mergeCell ref="B14:C14"/>
    <mergeCell ref="B20:C20"/>
    <mergeCell ref="B24:C24"/>
    <mergeCell ref="B28:C28"/>
    <mergeCell ref="B22:C22"/>
    <mergeCell ref="B16:C16"/>
    <mergeCell ref="B18:C18"/>
    <mergeCell ref="B26:C26"/>
  </mergeCells>
  <printOptions horizontalCentered="1"/>
  <pageMargins left="0.45" right="0.45" top="0.22" bottom="0" header="0.3" footer="0"/>
  <pageSetup orientation="portrait" scale="74"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mc:Ignorable="x14ac" xr:uid="{f13cc025-8797-4360-b0f5-925552ee90ff}">
  <sheetPr codeName="Sheet1">
    <tabColor rgb="FF0000FF"/>
    <pageSetUpPr fitToPage="1"/>
  </sheetPr>
  <dimension ref="B1:V54"/>
  <sheetViews>
    <sheetView tabSelected="1" zoomScale="85" zoomScaleNormal="85" workbookViewId="0" topLeftCell="A1">
      <pane ySplit="5" topLeftCell="A6" activePane="bottomLeft" state="frozen"/>
      <selection pane="topLeft" activeCell="A1" sqref="A1"/>
      <selection pane="bottomLeft" activeCell="A5" sqref="A5"/>
    </sheetView>
  </sheetViews>
  <sheetFormatPr defaultRowHeight="21"/>
  <cols>
    <col min="1" max="1" width="15.625" customWidth="1"/>
    <col min="2" max="2" width="4.125" style="90" customWidth="1"/>
    <col min="3" max="3" width="6.375" style="110" customWidth="1"/>
    <col min="4" max="4" width="37" style="87" customWidth="1"/>
    <col min="5" max="5" width="9" style="23" customWidth="1"/>
    <col min="6" max="6" width="10.25" style="85" bestFit="1" customWidth="1"/>
    <col min="7" max="7" width="10.625" style="112" customWidth="1"/>
    <col min="8" max="8" width="14.25" style="112" bestFit="1" customWidth="1"/>
    <col min="9" max="11" width="10.625" style="112" customWidth="1"/>
    <col min="21" max="21" width="12.375" bestFit="1" customWidth="1"/>
    <col min="22" max="22" width="12.875" bestFit="1" customWidth="1"/>
  </cols>
  <sheetData>
    <row r="1" spans="2:11" ht="21">
      <c r="B1" s="486" t="str">
        <f>Description!B4</f>
        <v>Sample Bank</v>
      </c>
      <c r="C1" s="495"/>
      <c r="D1" s="495"/>
      <c r="E1" s="495"/>
      <c r="F1" s="495"/>
      <c r="G1" s="495"/>
      <c r="H1" s="495"/>
      <c r="I1" s="495"/>
      <c r="J1" s="495"/>
      <c r="K1" s="487"/>
    </row>
    <row r="2" spans="2:11" ht="21">
      <c r="B2" s="488" t="s">
        <v>164</v>
      </c>
      <c r="C2" s="496"/>
      <c r="D2" s="496"/>
      <c r="E2" s="496"/>
      <c r="F2" s="496"/>
      <c r="G2" s="496"/>
      <c r="H2" s="496"/>
      <c r="I2" s="496"/>
      <c r="J2" s="496"/>
      <c r="K2" s="489"/>
    </row>
    <row r="3" spans="2:11" ht="15.75">
      <c r="B3" s="497">
        <f>Description!B2</f>
        <v>43830.0</v>
      </c>
      <c r="C3" s="498"/>
      <c r="D3" s="498"/>
      <c r="E3" s="498"/>
      <c r="F3" s="498"/>
      <c r="G3" s="498"/>
      <c r="H3" s="498"/>
      <c r="I3" s="498"/>
      <c r="J3" s="498"/>
      <c r="K3" s="499"/>
    </row>
    <row r="4" spans="2:11" ht="21">
      <c r="B4" s="463"/>
      <c r="C4" s="464"/>
      <c r="D4" s="465"/>
      <c r="E4" s="466"/>
      <c r="F4" s="467"/>
      <c r="G4" s="468"/>
      <c r="H4" s="468"/>
      <c r="I4" s="469"/>
      <c r="J4" s="469"/>
      <c r="K4" s="470"/>
    </row>
    <row r="5" spans="2:13" s="27" customFormat="1" ht="37.5" customHeight="1">
      <c r="B5" s="471"/>
      <c r="C5" s="407"/>
      <c r="D5" s="408"/>
      <c r="E5" s="421" t="s">
        <v>291</v>
      </c>
      <c r="F5" s="422"/>
      <c r="G5" s="115" t="s">
        <v>44</v>
      </c>
      <c r="H5" s="115" t="s">
        <v>143</v>
      </c>
      <c r="I5" s="115" t="s">
        <v>144</v>
      </c>
      <c r="J5" s="115" t="s">
        <v>198</v>
      </c>
      <c r="K5" s="472" t="s">
        <v>199</v>
      </c>
      <c r="M5" s="29"/>
    </row>
    <row r="6" spans="2:11" s="36" customFormat="1" ht="15.75" customHeight="1">
      <c r="B6" s="473"/>
      <c r="C6" s="409" t="s">
        <v>196</v>
      </c>
      <c r="D6" s="410" t="s">
        <v>197</v>
      </c>
      <c r="E6" s="411"/>
      <c r="F6" s="411"/>
      <c r="G6" s="115"/>
      <c r="H6" s="115"/>
      <c r="I6" s="115"/>
      <c r="J6" s="115"/>
      <c r="K6" s="472"/>
    </row>
    <row r="7" spans="2:11" ht="17.25" customHeight="1">
      <c r="B7" s="474" t="s">
        <v>69</v>
      </c>
      <c r="C7" s="89"/>
      <c r="D7" s="88"/>
      <c r="E7" s="405"/>
      <c r="F7" s="412"/>
      <c r="G7" s="116">
        <f>+' 2 - Sources &amp; Uses'!F7</f>
        <v>732108.0</v>
      </c>
      <c r="H7" s="116">
        <f>+' 2 - Sources &amp; Uses'!G7</f>
        <v>729055.0</v>
      </c>
      <c r="I7" s="116">
        <f>+' 2 - Sources &amp; Uses'!H7</f>
        <v>741398.0</v>
      </c>
      <c r="J7" s="116">
        <f>+' 2 - Sources &amp; Uses'!I7</f>
        <v>759001.0</v>
      </c>
      <c r="K7" s="475">
        <f>+' 2 - Sources &amp; Uses'!J7</f>
        <v>785265.0</v>
      </c>
    </row>
    <row r="8" spans="2:11" ht="17.25" customHeight="1">
      <c r="B8" s="471"/>
      <c r="C8" s="89"/>
      <c r="D8" s="89"/>
      <c r="E8" s="405"/>
      <c r="F8" s="406"/>
      <c r="G8" s="116"/>
      <c r="H8" s="116"/>
      <c r="I8" s="116"/>
      <c r="J8" s="116"/>
      <c r="K8" s="475"/>
    </row>
    <row r="9" spans="2:11" ht="21.75" customHeight="1">
      <c r="B9" s="474" t="s">
        <v>193</v>
      </c>
      <c r="C9" s="89"/>
      <c r="D9" s="89"/>
      <c r="E9" s="413" t="s">
        <v>162</v>
      </c>
      <c r="F9" s="406"/>
      <c r="G9" s="116"/>
      <c r="H9" s="116"/>
      <c r="I9" s="116"/>
      <c r="J9" s="116"/>
      <c r="K9" s="475"/>
    </row>
    <row r="10" spans="2:11" ht="17.25" customHeight="1">
      <c r="B10" s="471"/>
      <c r="C10" s="88" t="s">
        <v>273</v>
      </c>
      <c r="D10" s="89"/>
      <c r="E10" s="405"/>
      <c r="F10" s="406"/>
      <c r="G10" s="116">
        <f>' 2 - Sources &amp; Uses'!F43+' 2 - Sources &amp; Uses'!F50</f>
        <v>41618.0</v>
      </c>
      <c r="H10" s="116">
        <f>' 2 - Sources &amp; Uses'!G43+' 2 - Sources &amp; Uses'!G50</f>
        <v>36198.0</v>
      </c>
      <c r="I10" s="116">
        <f>' 2 - Sources &amp; Uses'!H43+' 2 - Sources &amp; Uses'!H50</f>
        <v>36345.0</v>
      </c>
      <c r="J10" s="116">
        <f>' 2 - Sources &amp; Uses'!I43+' 2 - Sources &amp; Uses'!I50</f>
        <v>36350.0</v>
      </c>
      <c r="K10" s="475">
        <f>' 2 - Sources &amp; Uses'!J43+' 2 - Sources &amp; Uses'!J50</f>
        <v>36460.0</v>
      </c>
    </row>
    <row r="11" spans="2:11" s="86" customFormat="1" ht="17.25" customHeight="1">
      <c r="B11" s="471"/>
      <c r="C11" s="88" t="s">
        <v>274</v>
      </c>
      <c r="D11" s="91"/>
      <c r="E11" s="414">
        <v>0.15</v>
      </c>
      <c r="F11" s="415"/>
      <c r="G11" s="117">
        <f>G10/G7</f>
        <v>0.05684680402345009</v>
      </c>
      <c r="H11" s="117">
        <f t="shared" si="0" ref="H11:K11">H10/H7</f>
        <v>0.04965057505949483</v>
      </c>
      <c r="I11" s="117">
        <f t="shared" si="0"/>
        <v>0.04902225255530768</v>
      </c>
      <c r="J11" s="117">
        <f t="shared" si="0"/>
        <v>0.04789190001067192</v>
      </c>
      <c r="K11" s="476">
        <f t="shared" si="0"/>
        <v>0.0464301859881696</v>
      </c>
    </row>
    <row r="12" spans="2:11" ht="17.25" customHeight="1">
      <c r="B12" s="471"/>
      <c r="C12" s="88" t="s">
        <v>123</v>
      </c>
      <c r="D12" s="89"/>
      <c r="E12" s="405"/>
      <c r="F12" s="406"/>
      <c r="G12" s="116">
        <f>+' 2 - Sources &amp; Uses'!F54</f>
        <v>82398.79999999999</v>
      </c>
      <c r="H12" s="116">
        <f>+' 2 - Sources &amp; Uses'!G54</f>
        <v>70096.5</v>
      </c>
      <c r="I12" s="116">
        <f>+' 2 - Sources &amp; Uses'!H54</f>
        <v>45294.799999999996</v>
      </c>
      <c r="J12" s="116">
        <f>+' 2 - Sources &amp; Uses'!I54</f>
        <v>38789.09999999999</v>
      </c>
      <c r="K12" s="475">
        <f>+' 2 - Sources &amp; Uses'!J54</f>
        <v>57680.5</v>
      </c>
    </row>
    <row r="13" spans="2:11" s="86" customFormat="1" ht="17.25" customHeight="1">
      <c r="B13" s="471"/>
      <c r="C13" s="88" t="s">
        <v>264</v>
      </c>
      <c r="D13" s="91"/>
      <c r="E13" s="414">
        <v>0.2</v>
      </c>
      <c r="F13" s="415"/>
      <c r="G13" s="117">
        <f>+' 2 - Sources &amp; Uses'!F55</f>
        <v>0.11255006091997354</v>
      </c>
      <c r="H13" s="117">
        <f>+' 2 - Sources &amp; Uses'!G55</f>
        <v>0.09614706709370349</v>
      </c>
      <c r="I13" s="117">
        <f>+' 2 - Sources &amp; Uses'!H55</f>
        <v>0.061093771496551104</v>
      </c>
      <c r="J13" s="117">
        <f>+' 2 - Sources &amp; Uses'!I55</f>
        <v>0.05110546626420781</v>
      </c>
      <c r="K13" s="476">
        <f>+' 2 - Sources &amp; Uses'!J55</f>
        <v>0.07345354752854132</v>
      </c>
    </row>
    <row r="14" spans="2:11" ht="17.25" customHeight="1">
      <c r="B14" s="471"/>
      <c r="C14" s="88" t="s">
        <v>130</v>
      </c>
      <c r="D14" s="89"/>
      <c r="E14" s="416"/>
      <c r="F14" s="406"/>
      <c r="G14" s="116">
        <f>+' 2 - Sources &amp; Uses'!F62</f>
        <v>272377.02569375</v>
      </c>
      <c r="H14" s="116">
        <f>+' 2 - Sources &amp; Uses'!G62</f>
        <v>278548.02569374995</v>
      </c>
      <c r="I14" s="116">
        <f>+' 2 - Sources &amp; Uses'!H62</f>
        <v>304130.02569375</v>
      </c>
      <c r="J14" s="116">
        <f>+' 2 - Sources &amp; Uses'!I62</f>
        <v>311613.02569375</v>
      </c>
      <c r="K14" s="475">
        <f>+' 2 - Sources &amp; Uses'!J62</f>
        <v>294199.02569374995</v>
      </c>
    </row>
    <row r="15" spans="2:11" ht="17.25" customHeight="1">
      <c r="B15" s="471"/>
      <c r="C15" s="88" t="s">
        <v>128</v>
      </c>
      <c r="D15" s="89"/>
      <c r="E15" s="405"/>
      <c r="F15" s="406"/>
      <c r="G15" s="116">
        <f>+' 2 - Sources &amp; Uses'!F64</f>
        <v>354775.82569375</v>
      </c>
      <c r="H15" s="116">
        <f>+' 2 - Sources &amp; Uses'!G64</f>
        <v>348644.52569374995</v>
      </c>
      <c r="I15" s="116">
        <f>+' 2 - Sources &amp; Uses'!H64</f>
        <v>349424.82569375</v>
      </c>
      <c r="J15" s="116">
        <f>+' 2 - Sources &amp; Uses'!I64</f>
        <v>350402.12569375</v>
      </c>
      <c r="K15" s="475">
        <f>+' 2 - Sources &amp; Uses'!J64</f>
        <v>351879.52569374995</v>
      </c>
    </row>
    <row r="16" spans="2:11" ht="17.25" customHeight="1">
      <c r="B16" s="471"/>
      <c r="C16" s="88" t="s">
        <v>59</v>
      </c>
      <c r="D16" s="89"/>
      <c r="E16" s="414">
        <v>0.3</v>
      </c>
      <c r="F16" s="406"/>
      <c r="G16" s="117">
        <f>+' 2 - Sources &amp; Uses'!F65</f>
        <v>0.48459493093061407</v>
      </c>
      <c r="H16" s="117">
        <f>+' 2 - Sources &amp; Uses'!G65</f>
        <v>0.4782142989126334</v>
      </c>
      <c r="I16" s="117">
        <f>+' 2 - Sources &amp; Uses'!H65</f>
        <v>0.47130532547127185</v>
      </c>
      <c r="J16" s="117">
        <f>+' 2 - Sources &amp; Uses'!I65</f>
        <v>0.46166227145122335</v>
      </c>
      <c r="K16" s="476">
        <f>+' 2 - Sources &amp; Uses'!J65</f>
        <v>0.4481029024517201</v>
      </c>
    </row>
    <row r="17" spans="2:11" ht="17.25" customHeight="1">
      <c r="B17" s="471"/>
      <c r="C17" s="89"/>
      <c r="D17" s="89"/>
      <c r="E17" s="405"/>
      <c r="F17" s="406"/>
      <c r="G17" s="116"/>
      <c r="H17" s="116"/>
      <c r="I17" s="116"/>
      <c r="J17" s="116"/>
      <c r="K17" s="475"/>
    </row>
    <row r="18" spans="2:11" ht="22.5" customHeight="1">
      <c r="B18" s="474" t="s">
        <v>129</v>
      </c>
      <c r="C18" s="89"/>
      <c r="D18" s="89"/>
      <c r="E18" s="405"/>
      <c r="F18" s="406"/>
      <c r="G18" s="116"/>
      <c r="H18" s="116"/>
      <c r="I18" s="116"/>
      <c r="J18" s="116"/>
      <c r="K18" s="475"/>
    </row>
    <row r="19" spans="2:11" ht="17.25" customHeight="1">
      <c r="B19" s="471"/>
      <c r="C19" s="54" t="s">
        <v>194</v>
      </c>
      <c r="D19" s="89"/>
      <c r="E19" s="405"/>
      <c r="F19" s="406"/>
      <c r="G19" s="116">
        <f>+' 2 - Sources &amp; Uses'!F39</f>
        <v>0.0</v>
      </c>
      <c r="H19" s="116">
        <f>+' 2 - Sources &amp; Uses'!G39</f>
        <v>-5420.0</v>
      </c>
      <c r="I19" s="116">
        <f>+' 2 - Sources &amp; Uses'!H39</f>
        <v>147.0</v>
      </c>
      <c r="J19" s="116">
        <f>+' 2 - Sources &amp; Uses'!I39</f>
        <v>5.0</v>
      </c>
      <c r="K19" s="475">
        <f>+' 2 - Sources &amp; Uses'!J39</f>
        <v>110.0</v>
      </c>
    </row>
    <row r="20" spans="2:19" ht="17.25" customHeight="1">
      <c r="B20" s="471"/>
      <c r="C20" s="54" t="s">
        <v>257</v>
      </c>
      <c r="D20" s="89"/>
      <c r="E20" s="414">
        <v>-0.1</v>
      </c>
      <c r="F20" s="406"/>
      <c r="G20" s="120">
        <f>+G19/G7</f>
        <v>0.0</v>
      </c>
      <c r="H20" s="120">
        <f>+H19/H7</f>
        <v>-0.007434281364231779</v>
      </c>
      <c r="I20" s="120">
        <f>+I19/I7</f>
        <v>1.982740714164322E-4</v>
      </c>
      <c r="J20" s="120">
        <f>+J19/J7</f>
        <v>6.587606603943868E-6</v>
      </c>
      <c r="K20" s="477">
        <f>+K19/K7</f>
        <v>1.4008010034829006E-4</v>
      </c>
      <c r="S20" s="460"/>
    </row>
    <row r="21" spans="2:11" ht="17.25" customHeight="1">
      <c r="B21" s="471"/>
      <c r="C21" s="54" t="s">
        <v>255</v>
      </c>
      <c r="D21" s="88"/>
      <c r="E21" s="405"/>
      <c r="F21" s="406"/>
      <c r="G21" s="121">
        <f>+G19</f>
        <v>0.0</v>
      </c>
      <c r="H21" s="121">
        <f>+H19+G21</f>
        <v>-5420.0</v>
      </c>
      <c r="I21" s="121">
        <f>+I19+H21</f>
        <v>-5273.0</v>
      </c>
      <c r="J21" s="121">
        <f>+J19+I21</f>
        <v>-5268.0</v>
      </c>
      <c r="K21" s="478">
        <f>+K19+J21</f>
        <v>-5158.0</v>
      </c>
    </row>
    <row r="22" spans="2:11" ht="17.25" customHeight="1">
      <c r="B22" s="471"/>
      <c r="C22" s="54" t="s">
        <v>256</v>
      </c>
      <c r="D22" s="89"/>
      <c r="E22" s="414">
        <v>-0.1</v>
      </c>
      <c r="F22" s="406"/>
      <c r="G22" s="120">
        <f>+G21/G7</f>
        <v>0.0</v>
      </c>
      <c r="H22" s="120">
        <f>+H21/H7</f>
        <v>-0.007434281364231779</v>
      </c>
      <c r="I22" s="120">
        <f>+I21/I7</f>
        <v>-0.0071122393100601835</v>
      </c>
      <c r="J22" s="120">
        <f>+J21/J7</f>
        <v>-0.00694070231791526</v>
      </c>
      <c r="K22" s="477">
        <f>+K21/K7</f>
        <v>-0.0065684832508770925</v>
      </c>
    </row>
    <row r="23" spans="2:11" ht="17.25" customHeight="1">
      <c r="B23" s="471"/>
      <c r="C23" s="54"/>
      <c r="D23" s="89"/>
      <c r="E23" s="89"/>
      <c r="F23" s="406"/>
      <c r="G23" s="120"/>
      <c r="H23" s="120"/>
      <c r="I23" s="120"/>
      <c r="J23" s="120"/>
      <c r="K23" s="477"/>
    </row>
    <row r="24" spans="2:11" ht="18.75">
      <c r="B24" s="474" t="s">
        <v>84</v>
      </c>
      <c r="C24" s="89"/>
      <c r="D24" s="88"/>
      <c r="E24" s="405"/>
      <c r="F24" s="406"/>
      <c r="G24" s="121"/>
      <c r="H24" s="121"/>
      <c r="I24" s="121"/>
      <c r="J24" s="121"/>
      <c r="K24" s="478"/>
    </row>
    <row r="25" spans="2:18" ht="17.25" customHeight="1">
      <c r="B25" s="471"/>
      <c r="C25" s="54" t="s">
        <v>84</v>
      </c>
      <c r="D25" s="89"/>
      <c r="E25" s="405"/>
      <c r="F25" s="406"/>
      <c r="G25" s="121"/>
      <c r="H25" s="121">
        <f>+'6 - Funding Gaps'!C28</f>
        <v>2853.0</v>
      </c>
      <c r="I25" s="121">
        <f>+'6 - Funding Gaps'!E28</f>
        <v>-10933.0</v>
      </c>
      <c r="J25" s="121">
        <f>+'6 - Funding Gaps'!G28</f>
        <v>-27540.0</v>
      </c>
      <c r="K25" s="478">
        <f>+'6 - Funding Gaps'!I28</f>
        <v>-3951.0</v>
      </c>
      <c r="R25" s="28"/>
    </row>
    <row r="26" spans="2:11" ht="17.25" customHeight="1">
      <c r="B26" s="471"/>
      <c r="C26" s="54" t="s">
        <v>258</v>
      </c>
      <c r="D26" s="89"/>
      <c r="E26" s="414">
        <v>-0.1</v>
      </c>
      <c r="F26" s="406"/>
      <c r="G26" s="121"/>
      <c r="H26" s="120">
        <f>+H25/H7</f>
        <v>0.003913285005932337</v>
      </c>
      <c r="I26" s="120">
        <f>+I25/I7</f>
        <v>-0.014746465461196281</v>
      </c>
      <c r="J26" s="120">
        <f>+J25/J7</f>
        <v>-0.036284537174522825</v>
      </c>
      <c r="K26" s="477">
        <f>+K25/K7</f>
        <v>-0.005031422513419037</v>
      </c>
    </row>
    <row r="27" spans="2:11" ht="17.25" customHeight="1">
      <c r="B27" s="471"/>
      <c r="C27" s="54" t="s">
        <v>259</v>
      </c>
      <c r="D27" s="88"/>
      <c r="E27" s="405"/>
      <c r="F27" s="406"/>
      <c r="G27" s="121"/>
      <c r="H27" s="121">
        <f>+H25+G27</f>
        <v>2853.0</v>
      </c>
      <c r="I27" s="121">
        <f>+I25+H27</f>
        <v>-8080.0</v>
      </c>
      <c r="J27" s="121">
        <f>+J25+I27</f>
        <v>-35620.0</v>
      </c>
      <c r="K27" s="478">
        <f>+K25+J27</f>
        <v>-39571.0</v>
      </c>
    </row>
    <row r="28" spans="2:11" ht="17.25" customHeight="1">
      <c r="B28" s="471"/>
      <c r="C28" s="54" t="s">
        <v>260</v>
      </c>
      <c r="D28" s="89"/>
      <c r="E28" s="414">
        <v>-0.1</v>
      </c>
      <c r="F28" s="406"/>
      <c r="G28" s="121"/>
      <c r="H28" s="120">
        <f>+H27/H7</f>
        <v>0.003913285005932337</v>
      </c>
      <c r="I28" s="120">
        <f>+I27/I7</f>
        <v>-0.010898329911869198</v>
      </c>
      <c r="J28" s="120">
        <f>+J27/J7</f>
        <v>-0.046930109446496115</v>
      </c>
      <c r="K28" s="477">
        <f>+K27/K7</f>
        <v>-0.050391905917110784</v>
      </c>
    </row>
    <row r="29" spans="2:11" ht="17.25" customHeight="1">
      <c r="B29" s="471"/>
      <c r="C29" s="89"/>
      <c r="D29" s="88"/>
      <c r="E29" s="405"/>
      <c r="F29" s="406"/>
      <c r="G29" s="116"/>
      <c r="H29" s="116"/>
      <c r="I29" s="116"/>
      <c r="J29" s="116"/>
      <c r="K29" s="475"/>
    </row>
    <row r="30" spans="2:11" ht="23.25" customHeight="1">
      <c r="B30" s="474" t="s">
        <v>109</v>
      </c>
      <c r="C30" s="89"/>
      <c r="D30" s="88"/>
      <c r="E30" s="383" t="s">
        <v>163</v>
      </c>
      <c r="F30" s="406"/>
      <c r="G30" s="116"/>
      <c r="H30" s="116"/>
      <c r="I30" s="116"/>
      <c r="J30" s="116"/>
      <c r="K30" s="475"/>
    </row>
    <row r="31" spans="2:11" ht="17.25" customHeight="1">
      <c r="B31" s="471"/>
      <c r="C31" s="88" t="str">
        <f>+'5 - Concentration'!C22</f>
        <v>Total Retail Deposits</v>
      </c>
      <c r="D31" s="88"/>
      <c r="E31" s="416"/>
      <c r="F31" s="406"/>
      <c r="G31" s="117">
        <f>+'5 - Concentration'!E22</f>
        <v>0.6959615248023515</v>
      </c>
      <c r="H31" s="117">
        <f>+'5 - Concentration'!G22/H7</f>
        <v>0.6892717284704172</v>
      </c>
      <c r="I31" s="117">
        <f>+'5 - Concentration'!H22/I7</f>
        <v>0.6778167731771599</v>
      </c>
      <c r="J31" s="117">
        <f>+'5 - Concentration'!I22/J7</f>
        <v>0.6993679850224176</v>
      </c>
      <c r="K31" s="476">
        <f>+'5 - Concentration'!J22/K7</f>
        <v>0.6786193195927489</v>
      </c>
    </row>
    <row r="32" spans="2:11" ht="17.25" customHeight="1">
      <c r="B32" s="471"/>
      <c r="C32" s="88" t="str">
        <f>+'5 - Concentration'!C29</f>
        <v>FF Purchased &amp; Securities Sold</v>
      </c>
      <c r="D32" s="88"/>
      <c r="E32" s="414">
        <v>0.1</v>
      </c>
      <c r="F32" s="406"/>
      <c r="G32" s="117">
        <f>+'5 - Concentration'!E29</f>
        <v>0.0</v>
      </c>
      <c r="H32" s="117">
        <f>+'5 - Concentration'!G29/H7</f>
        <v>5.5688528300334E-4</v>
      </c>
      <c r="I32" s="117">
        <f>+'5 - Concentration'!H29/I7</f>
        <v>0.0013582448293629062</v>
      </c>
      <c r="J32" s="117">
        <f>+'5 - Concentration'!I29/J7</f>
        <v>0.002364950770815849</v>
      </c>
      <c r="K32" s="476">
        <f>+'5 - Concentration'!J29/K7</f>
        <v>0.003889132967851617</v>
      </c>
    </row>
    <row r="33" spans="2:11" ht="17.25" customHeight="1">
      <c r="B33" s="471"/>
      <c r="C33" s="88" t="str">
        <f>+'5 - Concentration'!C25</f>
        <v>Public Funds</v>
      </c>
      <c r="D33" s="88"/>
      <c r="E33" s="414">
        <v>0.1</v>
      </c>
      <c r="F33" s="406"/>
      <c r="G33" s="117">
        <f>+'5 - Concentration'!E25</f>
        <v>0.08600507029017576</v>
      </c>
      <c r="H33" s="117">
        <f>+'5 - Concentration'!G25/H7</f>
        <v>0.08225031033323961</v>
      </c>
      <c r="I33" s="117">
        <f>+'5 - Concentration'!H25/I7</f>
        <v>0.06129771054143658</v>
      </c>
      <c r="J33" s="117">
        <f>+'5 - Concentration'!I25/J7</f>
        <v>0.03345450137746854</v>
      </c>
      <c r="K33" s="476">
        <f>+'5 - Concentration'!J25/K7</f>
        <v>0.08018312289481895</v>
      </c>
    </row>
    <row r="34" spans="2:11" ht="17.25" customHeight="1">
      <c r="B34" s="471"/>
      <c r="C34" s="88" t="str">
        <f>+'5 - Concentration'!C26</f>
        <v>Total Brokered Deposits</v>
      </c>
      <c r="D34" s="88"/>
      <c r="E34" s="414">
        <v>0.1</v>
      </c>
      <c r="F34" s="406"/>
      <c r="G34" s="117">
        <f>+'5 - Concentration'!E26</f>
        <v>0.013559474831582225</v>
      </c>
      <c r="H34" s="117">
        <f>+'5 - Concentration'!G26/H7</f>
        <v>0.013616256661020088</v>
      </c>
      <c r="I34" s="117">
        <f>+'5 - Concentration'!H26/I7</f>
        <v>0.013389569435040289</v>
      </c>
      <c r="J34" s="117">
        <f>+'5 - Concentration'!I26/J7</f>
        <v>0.013079034151470156</v>
      </c>
      <c r="K34" s="476">
        <f>+'5 - Concentration'!J26/K7</f>
        <v>0.012641592328704323</v>
      </c>
    </row>
    <row r="35" spans="2:11" ht="17.25" customHeight="1">
      <c r="B35" s="471"/>
      <c r="C35" s="88" t="str">
        <f>+'5 - Concentration'!C30</f>
        <v>FHLB Advances</v>
      </c>
      <c r="D35" s="88"/>
      <c r="E35" s="414">
        <v>0.15</v>
      </c>
      <c r="F35" s="406"/>
      <c r="G35" s="117">
        <f>+'5 - Concentration'!E30</f>
        <v>0.07434695427450595</v>
      </c>
      <c r="H35" s="117">
        <f>+'5 - Concentration'!G30/H7</f>
        <v>0.08312267250070296</v>
      </c>
      <c r="I35" s="117">
        <f>+'5 - Concentration'!H30/I7</f>
        <v>0.11624390678151277</v>
      </c>
      <c r="J35" s="117">
        <f>+'5 - Concentration'!I30/J7</f>
        <v>0.12340695203300127</v>
      </c>
      <c r="K35" s="476">
        <f>+'5 - Concentration'!J30/K7</f>
        <v>0.09710352556143467</v>
      </c>
    </row>
    <row r="36" spans="2:11" ht="17.25" customHeight="1">
      <c r="B36" s="471"/>
      <c r="C36" s="88" t="str">
        <f>+'5 - Concentration'!C31</f>
        <v>Other Borrowed Money</v>
      </c>
      <c r="D36" s="88"/>
      <c r="E36" s="414">
        <v>0.1</v>
      </c>
      <c r="F36" s="406"/>
      <c r="G36" s="117">
        <f>+'5 - Concentration'!E31</f>
        <v>0.0</v>
      </c>
      <c r="H36" s="117">
        <f>+'5 - Concentration'!G31/H7</f>
        <v>0.0</v>
      </c>
      <c r="I36" s="117">
        <f>+'5 - Concentration'!H31/I7</f>
        <v>0.0</v>
      </c>
      <c r="J36" s="117">
        <f>+'5 - Concentration'!I31/J7</f>
        <v>0.0</v>
      </c>
      <c r="K36" s="476">
        <f>+'5 - Concentration'!J31/K7</f>
        <v>0.0</v>
      </c>
    </row>
    <row r="37" spans="2:11" s="23" customFormat="1" ht="17.25" customHeight="1">
      <c r="B37" s="471"/>
      <c r="C37" s="405" t="str">
        <f>+'5 - Concentration'!C33</f>
        <v>Total Wholesale Funding</v>
      </c>
      <c r="D37" s="405"/>
      <c r="E37" s="414">
        <v>0.3</v>
      </c>
      <c r="F37" s="417"/>
      <c r="G37" s="118">
        <f>+'5 - Concentration'!E33</f>
        <v>0.17391149939626394</v>
      </c>
      <c r="H37" s="118">
        <f>+'5 - Concentration'!G33/H7</f>
        <v>0.179546124777966</v>
      </c>
      <c r="I37" s="118">
        <f>+'5 - Concentration'!H33/I7</f>
        <v>0.19228943158735254</v>
      </c>
      <c r="J37" s="118">
        <f>+'5 - Concentration'!I33/J7</f>
        <v>0.17230543833275583</v>
      </c>
      <c r="K37" s="479">
        <f>+'5 - Concentration'!J33/K7</f>
        <v>0.19381737375280955</v>
      </c>
    </row>
    <row r="38" spans="2:11" ht="17.25" customHeight="1">
      <c r="B38" s="471"/>
      <c r="C38" s="89"/>
      <c r="D38" s="88"/>
      <c r="E38" s="405"/>
      <c r="F38" s="406"/>
      <c r="G38" s="116"/>
      <c r="H38" s="116"/>
      <c r="I38" s="116"/>
      <c r="J38" s="116"/>
      <c r="K38" s="475"/>
    </row>
    <row r="39" spans="2:11" ht="17.25" customHeight="1">
      <c r="B39" s="474" t="s">
        <v>138</v>
      </c>
      <c r="C39" s="89"/>
      <c r="D39" s="88"/>
      <c r="E39" s="54"/>
      <c r="F39" s="493" t="str">
        <f>+'4 - Capacity'!I7</f>
        <v>Total</v>
      </c>
      <c r="G39" s="493"/>
      <c r="H39" s="461" t="str">
        <f>+'4 - Capacity'!J7</f>
        <v>Outstanding</v>
      </c>
      <c r="I39" s="119"/>
      <c r="J39" s="493" t="str">
        <f>+'4 - Capacity'!K7</f>
        <v>Available</v>
      </c>
      <c r="K39" s="494"/>
    </row>
    <row r="40" spans="2:14" s="23" customFormat="1" ht="17.25" customHeight="1">
      <c r="B40" s="471"/>
      <c r="C40" s="88" t="str">
        <f>+'4 - Capacity'!C16</f>
        <v>Total Uncollateralized Lines</v>
      </c>
      <c r="D40" s="88"/>
      <c r="E40" s="418"/>
      <c r="F40" s="116">
        <f>+'4 - Capacity'!I16</f>
        <v>95211.0</v>
      </c>
      <c r="G40" s="116"/>
      <c r="H40" s="116">
        <f>+'4 - Capacity'!J16</f>
        <v>9927.0</v>
      </c>
      <c r="I40" s="419"/>
      <c r="J40" s="116">
        <f>+'4 - Capacity'!K16</f>
        <v>85284.0</v>
      </c>
      <c r="K40" s="480">
        <f t="shared" si="1" ref="K40:K48">+J40/F40</f>
        <v>0.8957368371301635</v>
      </c>
      <c r="N40"/>
    </row>
    <row r="41" spans="2:11" ht="17.25" customHeight="1" hidden="1">
      <c r="B41" s="471"/>
      <c r="C41" s="88" t="str">
        <f>+'4 - Capacity'!D23</f>
        <v>Cash on Hand</v>
      </c>
      <c r="D41" s="88"/>
      <c r="E41" s="405"/>
      <c r="F41" s="152">
        <f>+'4 - Capacity'!I23</f>
        <v>0.0</v>
      </c>
      <c r="G41" s="152"/>
      <c r="H41" s="116">
        <f>+'4 - Capacity'!J23</f>
        <v>0.0</v>
      </c>
      <c r="I41" s="152"/>
      <c r="J41" s="116">
        <f>+'4 - Capacity'!K23</f>
        <v>0.0</v>
      </c>
      <c r="K41" s="480" t="e">
        <f t="shared" si="1"/>
        <v>#DIV/0!</v>
      </c>
    </row>
    <row r="42" spans="2:11" ht="17.25" customHeight="1" hidden="1">
      <c r="B42" s="471"/>
      <c r="C42" s="88" t="str">
        <f>+'4 - Capacity'!D22</f>
        <v>maintained for liquidity cushion</v>
      </c>
      <c r="D42" s="88"/>
      <c r="E42" s="414">
        <v>0.05</v>
      </c>
      <c r="F42" s="152">
        <f>+'4 - Capacity'!I22</f>
        <v>0.0</v>
      </c>
      <c r="G42" s="152"/>
      <c r="H42" s="116">
        <f>+'4 - Capacity'!J22</f>
        <v>0.0</v>
      </c>
      <c r="I42" s="152"/>
      <c r="J42" s="116">
        <f>+'4 - Capacity'!K22</f>
        <v>0.0</v>
      </c>
      <c r="K42" s="480" t="e">
        <f t="shared" si="1"/>
        <v>#DIV/0!</v>
      </c>
    </row>
    <row r="43" spans="2:11" ht="17.25" customHeight="1">
      <c r="B43" s="471"/>
      <c r="C43" s="88" t="str">
        <f>+'4 - Capacity'!C24</f>
        <v>Securities Collateral Available</v>
      </c>
      <c r="D43" s="88"/>
      <c r="E43" s="405"/>
      <c r="F43" s="152">
        <f>+'4 - Capacity'!I24</f>
        <v>127355.0</v>
      </c>
      <c r="G43" s="152"/>
      <c r="H43" s="116">
        <f>+'4 - Capacity'!J24</f>
        <v>96437.0</v>
      </c>
      <c r="I43" s="152"/>
      <c r="J43" s="116">
        <f>+'4 - Capacity'!K24</f>
        <v>30918.0</v>
      </c>
      <c r="K43" s="480">
        <f t="shared" si="1"/>
        <v>0.24277020925758705</v>
      </c>
    </row>
    <row r="44" spans="2:11" ht="17.25" customHeight="1">
      <c r="B44" s="471"/>
      <c r="C44" s="88" t="str">
        <f>+'4 - Capacity'!C30</f>
        <v>FHLB Loan Collateral</v>
      </c>
      <c r="D44" s="88"/>
      <c r="E44" s="405"/>
      <c r="F44" s="152">
        <f>+'4 - Capacity'!I30</f>
        <v>278932.01461875</v>
      </c>
      <c r="G44" s="152"/>
      <c r="H44" s="116">
        <f>+'4 - Capacity'!J30</f>
        <v>54430.0</v>
      </c>
      <c r="I44" s="152"/>
      <c r="J44" s="116">
        <f>+'4 - Capacity'!K30</f>
        <v>224502.01461875</v>
      </c>
      <c r="K44" s="480">
        <f t="shared" si="1"/>
        <v>0.8048628441794461</v>
      </c>
    </row>
    <row r="45" spans="2:22" ht="17.25" customHeight="1">
      <c r="B45" s="471"/>
      <c r="C45" s="88" t="str">
        <f>+'4 - Capacity'!C40</f>
        <v>Fed Discount Window</v>
      </c>
      <c r="D45" s="88"/>
      <c r="E45" s="405"/>
      <c r="F45" s="152">
        <f>+'4 - Capacity'!I40</f>
        <v>3372.011075</v>
      </c>
      <c r="G45" s="152"/>
      <c r="H45" s="116">
        <f>+'4 - Capacity'!J40</f>
        <v>0.0</v>
      </c>
      <c r="I45" s="152"/>
      <c r="J45" s="116">
        <f>+'4 - Capacity'!K40</f>
        <v>3372.011075</v>
      </c>
      <c r="K45" s="480">
        <f t="shared" si="1"/>
        <v>1.0</v>
      </c>
      <c r="N45" s="87"/>
      <c r="O45" s="87"/>
      <c r="P45" s="23"/>
      <c r="Q45" s="151"/>
      <c r="R45" s="152"/>
      <c r="S45" s="112"/>
      <c r="T45" s="151"/>
      <c r="U45" s="112"/>
      <c r="V45" s="113"/>
    </row>
    <row r="46" spans="2:22" ht="17.25" customHeight="1">
      <c r="B46" s="471"/>
      <c r="C46" s="88" t="str">
        <f>+'4 - Capacity'!C34</f>
        <v>Repurchase Line</v>
      </c>
      <c r="D46" s="88"/>
      <c r="E46" s="173"/>
      <c r="F46" s="116">
        <f>+'4 - Capacity'!I34</f>
        <v>0.008865000000000001</v>
      </c>
      <c r="G46" s="423"/>
      <c r="H46" s="116">
        <f>+'4 - Capacity'!J34</f>
        <v>0.0</v>
      </c>
      <c r="I46" s="423"/>
      <c r="J46" s="116">
        <f>+'4 - Capacity'!K34</f>
        <v>0.008865000000000001</v>
      </c>
      <c r="K46" s="481">
        <f t="shared" si="1"/>
        <v>1.0</v>
      </c>
      <c r="N46" s="87"/>
      <c r="O46" s="87"/>
      <c r="P46" s="23"/>
      <c r="Q46" s="151"/>
      <c r="R46" s="152"/>
      <c r="S46" s="112"/>
      <c r="T46" s="151"/>
      <c r="U46" s="112"/>
      <c r="V46" s="113"/>
    </row>
    <row r="47" spans="2:14" s="23" customFormat="1" ht="17.25" customHeight="1">
      <c r="B47" s="471"/>
      <c r="C47" s="88" t="str">
        <f>+'4 - Capacity'!C42</f>
        <v>Total Collateralized Lines</v>
      </c>
      <c r="D47" s="173"/>
      <c r="E47" s="405"/>
      <c r="F47" s="121">
        <f>SUM(F43:F46)</f>
        <v>409659.03455875</v>
      </c>
      <c r="G47" s="121"/>
      <c r="H47" s="121">
        <f>SUM(H43:H46)</f>
        <v>150867.0</v>
      </c>
      <c r="I47" s="462"/>
      <c r="J47" s="121">
        <f>SUM(J43:J46)</f>
        <v>258792.03455875</v>
      </c>
      <c r="K47" s="481">
        <f t="shared" si="1"/>
        <v>0.6317254417139826</v>
      </c>
      <c r="L47" s="379"/>
      <c r="M47" s="379"/>
      <c r="N47" s="379"/>
    </row>
    <row r="48" spans="2:14" ht="21">
      <c r="B48" s="471"/>
      <c r="C48" s="405" t="s">
        <v>261</v>
      </c>
      <c r="D48" s="405"/>
      <c r="E48" s="405"/>
      <c r="F48" s="123">
        <f>F40+F47</f>
        <v>504870.03455875</v>
      </c>
      <c r="G48" s="123"/>
      <c r="H48" s="123">
        <f>H40+H47</f>
        <v>160794.0</v>
      </c>
      <c r="I48" s="420"/>
      <c r="J48" s="123">
        <f>J40+J47</f>
        <v>344076.03455875</v>
      </c>
      <c r="K48" s="482">
        <f t="shared" si="1"/>
        <v>0.6815140749231989</v>
      </c>
      <c r="L48" s="379"/>
      <c r="M48" s="379"/>
      <c r="N48" s="379"/>
    </row>
    <row r="49" spans="2:11" ht="21">
      <c r="B49" s="483"/>
      <c r="C49" s="458" t="s">
        <v>262</v>
      </c>
      <c r="D49" s="458"/>
      <c r="E49" s="458"/>
      <c r="F49" s="459">
        <f>F48/$G$7</f>
        <v>0.6896114160188798</v>
      </c>
      <c r="G49" s="457"/>
      <c r="H49" s="459">
        <f>H48/$G$7</f>
        <v>0.2196315297742956</v>
      </c>
      <c r="I49" s="457"/>
      <c r="J49" s="459">
        <f>J48/$G$7</f>
        <v>0.46997988624458414</v>
      </c>
      <c r="K49" s="484"/>
    </row>
    <row r="50" spans="3:11" ht="17.25" customHeight="1">
      <c r="C50" s="89"/>
      <c r="D50" s="88"/>
      <c r="E50" s="405"/>
      <c r="F50" s="424"/>
      <c r="G50" s="116"/>
      <c r="H50" s="116"/>
      <c r="I50" s="116"/>
      <c r="J50" s="425"/>
      <c r="K50" s="116"/>
    </row>
    <row r="51" spans="6:10" ht="17.25" customHeight="1">
      <c r="F51" s="28"/>
      <c r="J51" s="114"/>
    </row>
    <row r="52" ht="17.25" customHeight="1"/>
    <row r="53" spans="6:10" ht="15" customHeight="1">
      <c r="F53" s="28"/>
      <c r="J53" s="114"/>
    </row>
    <row r="54" spans="6:10" ht="15" customHeight="1">
      <c r="F54" s="28"/>
      <c r="J54" s="114"/>
    </row>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sheetData>
  <mergeCells count="5">
    <mergeCell ref="J39:K39"/>
    <mergeCell ref="B1:K1"/>
    <mergeCell ref="B2:K2"/>
    <mergeCell ref="B3:K3"/>
    <mergeCell ref="F39:G39"/>
  </mergeCells>
  <printOptions horizontalCentered="1"/>
  <pageMargins left="0.75" right="0.5" top="0.75" bottom="0.75" header="0.3" footer="0.3"/>
  <pageSetup orientation="portrait" scale="75" r:id="rId2"/>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mc:Ignorable="x14ac" xr:uid="{da5c206a-aa21-49f7-a22f-3c28c3c629b6}">
  <sheetPr codeName="Sheet2">
    <tabColor rgb="FF0000FF"/>
    <pageSetUpPr fitToPage="1"/>
  </sheetPr>
  <dimension ref="B1:L65"/>
  <sheetViews>
    <sheetView zoomScale="85" zoomScaleNormal="85" workbookViewId="0" topLeftCell="A1">
      <pane ySplit="7" topLeftCell="A8" activePane="bottomLeft" state="frozen"/>
      <selection pane="topLeft" activeCell="A1" sqref="A1"/>
      <selection pane="bottomLeft" activeCell="C4" sqref="C4"/>
    </sheetView>
  </sheetViews>
  <sheetFormatPr defaultColWidth="9.145" defaultRowHeight="15"/>
  <cols>
    <col min="1" max="1" width="15.625" style="34" customWidth="1"/>
    <col min="2" max="2" width="4.125" style="33" customWidth="1"/>
    <col min="3" max="3" width="4.375" style="33" customWidth="1"/>
    <col min="4" max="4" width="44.75" style="34" customWidth="1"/>
    <col min="5" max="5" width="9.75" style="34" customWidth="1"/>
    <col min="6" max="10" width="9.75" style="32" customWidth="1"/>
    <col min="11" max="16384" width="9.125" style="34"/>
  </cols>
  <sheetData>
    <row r="1" spans="2:10" ht="21">
      <c r="B1" s="486" t="str">
        <f>Description!B4</f>
        <v>Sample Bank</v>
      </c>
      <c r="C1" s="495"/>
      <c r="D1" s="495"/>
      <c r="E1" s="495"/>
      <c r="F1" s="495"/>
      <c r="G1" s="495"/>
      <c r="H1" s="495"/>
      <c r="I1" s="495"/>
      <c r="J1" s="487"/>
    </row>
    <row r="2" spans="2:10" ht="21">
      <c r="B2" s="488" t="s">
        <v>117</v>
      </c>
      <c r="C2" s="496"/>
      <c r="D2" s="496"/>
      <c r="E2" s="496"/>
      <c r="F2" s="496"/>
      <c r="G2" s="496"/>
      <c r="H2" s="496"/>
      <c r="I2" s="496"/>
      <c r="J2" s="489"/>
    </row>
    <row r="3" spans="2:10" ht="16.5" thickBot="1">
      <c r="B3" s="490">
        <f>Description!B2</f>
        <v>43830.0</v>
      </c>
      <c r="C3" s="500"/>
      <c r="D3" s="500"/>
      <c r="E3" s="500"/>
      <c r="F3" s="500"/>
      <c r="G3" s="500"/>
      <c r="H3" s="500"/>
      <c r="I3" s="500"/>
      <c r="J3" s="501"/>
    </row>
    <row r="4" spans="2:10" ht="15">
      <c r="B4" s="224"/>
      <c r="C4" s="224"/>
      <c r="D4" s="224"/>
      <c r="E4" s="224"/>
      <c r="F4" s="224"/>
      <c r="G4" s="224"/>
      <c r="H4" s="224"/>
      <c r="I4" s="224"/>
      <c r="J4" s="224"/>
    </row>
    <row r="5" spans="2:12" s="130" customFormat="1" ht="30.75" customHeight="1">
      <c r="B5" s="129"/>
      <c r="C5" s="129"/>
      <c r="E5" s="276" t="s">
        <v>291</v>
      </c>
      <c r="F5" s="131" t="s">
        <v>44</v>
      </c>
      <c r="G5" s="131" t="str">
        <f>+'1 - Summary'!H5</f>
        <v>30 days</v>
      </c>
      <c r="H5" s="131" t="str">
        <f>+'1 - Summary'!I5</f>
        <v>90 days</v>
      </c>
      <c r="I5" s="131" t="str">
        <f>+'1 - Summary'!J5</f>
        <v>4-6 Months</v>
      </c>
      <c r="J5" s="131" t="str">
        <f>+'1 - Summary'!K5</f>
        <v>7-12 Months</v>
      </c>
      <c r="L5" s="131"/>
    </row>
    <row r="6" spans="2:10" s="132" customFormat="1" ht="12.75" customHeight="1">
      <c r="B6" s="129"/>
      <c r="C6" s="129"/>
      <c r="D6" s="129"/>
      <c r="F6" s="133"/>
      <c r="G6" s="133"/>
      <c r="H6" s="133"/>
      <c r="I6" s="133"/>
      <c r="J6" s="133"/>
    </row>
    <row r="7" spans="2:10" ht="15">
      <c r="B7" s="33" t="s">
        <v>69</v>
      </c>
      <c r="F7" s="32">
        <f>+'5 - Concentration'!D42</f>
        <v>732108.0</v>
      </c>
      <c r="G7" s="32">
        <f>+'5 - Concentration'!G42</f>
        <v>729055.0</v>
      </c>
      <c r="H7" s="32">
        <f>+'5 - Concentration'!H42</f>
        <v>741398.0</v>
      </c>
      <c r="I7" s="32">
        <f>+'5 - Concentration'!I42</f>
        <v>759001.0</v>
      </c>
      <c r="J7" s="32">
        <f>+'5 - Concentration'!J42</f>
        <v>785265.0</v>
      </c>
    </row>
    <row r="9" spans="2:2" ht="18.75">
      <c r="B9" s="134" t="s">
        <v>123</v>
      </c>
    </row>
    <row r="10" ht="9" customHeight="1"/>
    <row r="11" spans="2:10" ht="15">
      <c r="B11" s="104" t="s">
        <v>64</v>
      </c>
      <c r="C11" s="135" t="s">
        <v>226</v>
      </c>
      <c r="D11" s="136"/>
      <c r="E11" s="136"/>
      <c r="F11" s="358">
        <f>+'5 - Concentration'!D38</f>
        <v>10700.0</v>
      </c>
      <c r="G11" s="358">
        <f>F43</f>
        <v>10700.0</v>
      </c>
      <c r="H11" s="358">
        <f>G43</f>
        <v>5280.0</v>
      </c>
      <c r="I11" s="358">
        <f>H43</f>
        <v>5427.0</v>
      </c>
      <c r="J11" s="359">
        <f>I43</f>
        <v>5432.0</v>
      </c>
    </row>
    <row r="12" spans="6:10" ht="15" hidden="1">
      <c r="F12" s="150"/>
      <c r="G12" s="150"/>
      <c r="H12" s="150"/>
      <c r="I12" s="150"/>
      <c r="J12" s="150"/>
    </row>
    <row r="13" spans="3:10" ht="15">
      <c r="C13" s="33" t="s">
        <v>231</v>
      </c>
      <c r="F13" s="150"/>
      <c r="G13" s="150"/>
      <c r="H13" s="150"/>
      <c r="I13" s="150"/>
      <c r="J13" s="150"/>
    </row>
    <row r="14" spans="4:10" ht="15">
      <c r="D14" s="34" t="s">
        <v>60</v>
      </c>
      <c r="F14" s="149"/>
      <c r="G14" s="150">
        <f>MAX(('5 - Concentration'!G39-'5 - Concentration'!D39)*-1,0)</f>
        <v>0.0</v>
      </c>
      <c r="H14" s="150">
        <f>MAX(('5 - Concentration'!H39-'5 - Concentration'!G39)*-1,0)</f>
        <v>0.0</v>
      </c>
      <c r="I14" s="150">
        <f>MAX(('5 - Concentration'!I39-'5 - Concentration'!H39)*-1,0)</f>
        <v>0.0</v>
      </c>
      <c r="J14" s="150">
        <f>MAX(('5 - Concentration'!J39-'5 - Concentration'!I39)*-1,0)</f>
        <v>0.0</v>
      </c>
    </row>
    <row r="15" spans="4:10" ht="15">
      <c r="D15" s="34" t="s">
        <v>82</v>
      </c>
      <c r="F15" s="149"/>
      <c r="G15" s="150">
        <f>MAX(('5 - Concentration'!G40-'5 - Concentration'!D40)*-1,0)</f>
        <v>44.0</v>
      </c>
      <c r="H15" s="150">
        <f>MAX(('5 - Concentration'!H40-'5 - Concentration'!G40)*-1,0)</f>
        <v>0.0</v>
      </c>
      <c r="I15" s="150">
        <f>MAX(('5 - Concentration'!I40-'5 - Concentration'!H40)*-1,0)</f>
        <v>0.0</v>
      </c>
      <c r="J15" s="150">
        <f>MAX(('5 - Concentration'!J40-'5 - Concentration'!I40)*-1,0)</f>
        <v>0.0</v>
      </c>
    </row>
    <row r="16" spans="4:10" ht="15">
      <c r="D16" s="34" t="s">
        <v>238</v>
      </c>
      <c r="F16" s="149"/>
      <c r="G16" s="150">
        <f>MAX('5 - Concentration'!G14-'5 - Concentration'!D14,0)</f>
        <v>488.0</v>
      </c>
      <c r="H16" s="150">
        <f>MAX('5 - Concentration'!H14-'5 - Concentration'!G14,0)</f>
        <v>981.0</v>
      </c>
      <c r="I16" s="150">
        <f>MAX('5 - Concentration'!I14-'5 - Concentration'!H14,0)</f>
        <v>1491.0</v>
      </c>
      <c r="J16" s="150">
        <f>MAX('5 - Concentration'!J14-'5 - Concentration'!I14,0)</f>
        <v>3049.0</v>
      </c>
    </row>
    <row r="17" spans="4:10" ht="15">
      <c r="D17" s="34" t="s">
        <v>239</v>
      </c>
      <c r="F17" s="149"/>
      <c r="G17" s="150">
        <f>MAX('5 - Concentration'!G15-'5 - Concentration'!D15,0)</f>
        <v>0.0</v>
      </c>
      <c r="H17" s="150">
        <f>MAX('5 - Concentration'!H15-'5 - Concentration'!G15,0)</f>
        <v>0.0</v>
      </c>
      <c r="I17" s="150">
        <f>MAX('5 - Concentration'!I15-'5 - Concentration'!H15,0)</f>
        <v>17400.0</v>
      </c>
      <c r="J17" s="150">
        <f>MAX('5 - Concentration'!J15-'5 - Concentration'!I15,0)</f>
        <v>0.0</v>
      </c>
    </row>
    <row r="18" spans="4:10" ht="15">
      <c r="D18" s="34" t="s">
        <v>240</v>
      </c>
      <c r="F18" s="149"/>
      <c r="G18" s="150">
        <f>MAX('5 - Concentration'!G16-'5 - Concentration'!D16,0)</f>
        <v>0.0</v>
      </c>
      <c r="H18" s="150">
        <f>MAX('5 - Concentration'!H16-'5 - Concentration'!G16,0)</f>
        <v>4291.0</v>
      </c>
      <c r="I18" s="150">
        <f>MAX('5 - Concentration'!I16-'5 - Concentration'!H16,0)</f>
        <v>10026.0</v>
      </c>
      <c r="J18" s="150">
        <f>MAX('5 - Concentration'!J16-'5 - Concentration'!I16,0)</f>
        <v>0.0</v>
      </c>
    </row>
    <row r="19" spans="4:10" ht="15">
      <c r="D19" s="34" t="s">
        <v>80</v>
      </c>
      <c r="F19" s="149"/>
      <c r="G19" s="150">
        <f>MAX('5 - Concentration'!G21-'5 - Concentration'!D21,0)</f>
        <v>0.0</v>
      </c>
      <c r="H19" s="150">
        <f>MAX('5 - Concentration'!H21-'5 - Concentration'!G21,0)</f>
        <v>0.0</v>
      </c>
      <c r="I19" s="150">
        <f>MAX('5 - Concentration'!I21-'5 - Concentration'!H21,0)</f>
        <v>0.0</v>
      </c>
      <c r="J19" s="150">
        <f>MAX('5 - Concentration'!J21-'5 - Concentration'!I21,0)</f>
        <v>20502.0</v>
      </c>
    </row>
    <row r="20" spans="4:10" ht="15">
      <c r="D20" s="34" t="s">
        <v>149</v>
      </c>
      <c r="F20" s="149"/>
      <c r="G20" s="150">
        <f>MAX('5 - Concentration'!G27-'5 - Concentration'!D27,0)</f>
        <v>0.0</v>
      </c>
      <c r="H20" s="150">
        <f>MAX('5 - Concentration'!H27-'5 - Concentration'!G27,0)</f>
        <v>0.0</v>
      </c>
      <c r="I20" s="150">
        <f>MAX('5 - Concentration'!I27-'5 - Concentration'!H27,0)</f>
        <v>0.0</v>
      </c>
      <c r="J20" s="150">
        <f>MAX('5 - Concentration'!J27-'5 - Concentration'!I27,0)</f>
        <v>37573.0</v>
      </c>
    </row>
    <row r="21" spans="4:10" ht="15">
      <c r="D21" s="34" t="s">
        <v>81</v>
      </c>
      <c r="F21" s="149"/>
      <c r="G21" s="150">
        <f>MAX('5 - Concentration'!G32-'5 - Concentration'!D32,0)</f>
        <v>6577.0</v>
      </c>
      <c r="H21" s="150">
        <f>MAX('5 - Concentration'!H32-'5 - Concentration'!G32,0)</f>
        <v>26183.0</v>
      </c>
      <c r="I21" s="150">
        <f>MAX('5 - Concentration'!I32-'5 - Concentration'!H32,0)</f>
        <v>8271.0</v>
      </c>
      <c r="J21" s="150">
        <f>MAX('5 - Concentration'!J32-'5 - Concentration'!I32,0)</f>
        <v>0.0</v>
      </c>
    </row>
    <row r="22" spans="4:10" ht="15">
      <c r="D22" s="34" t="s">
        <v>221</v>
      </c>
      <c r="F22" s="149"/>
      <c r="G22" s="150">
        <f>MAX(('5 - Concentration'!G41-'5 - Concentration'!D41)*-1,0)</f>
        <v>0.0</v>
      </c>
      <c r="H22" s="150">
        <f>MAX(('5 - Concentration'!H41-'5 - Concentration'!G41)*-1,0)</f>
        <v>0.0</v>
      </c>
      <c r="I22" s="150">
        <f>MAX(('5 - Concentration'!I41-'5 - Concentration'!H41)*-1,0)</f>
        <v>0.0</v>
      </c>
      <c r="J22" s="150">
        <f>MAX(('5 - Concentration'!J41-'5 - Concentration'!I41)*-1,0)</f>
        <v>0.0</v>
      </c>
    </row>
    <row r="23" spans="4:10" ht="15">
      <c r="D23" s="34" t="s">
        <v>241</v>
      </c>
      <c r="F23" s="149"/>
      <c r="G23" s="360">
        <f>MAX('5 - Concentration'!G49-'5 - Concentration'!D49,0)</f>
        <v>372.0</v>
      </c>
      <c r="H23" s="360">
        <f>MAX('5 - Concentration'!H49-'5 - Concentration'!G49,0)</f>
        <v>663.0</v>
      </c>
      <c r="I23" s="360">
        <f>MAX('5 - Concentration'!I49-'5 - Concentration'!H49,0)</f>
        <v>1096.0</v>
      </c>
      <c r="J23" s="360">
        <f>MAX('5 - Concentration'!J49-'5 - Concentration'!I49,0)</f>
        <v>2771.0</v>
      </c>
    </row>
    <row r="24" spans="2:10" ht="15">
      <c r="B24" s="104" t="s">
        <v>65</v>
      </c>
      <c r="C24" s="135" t="s">
        <v>61</v>
      </c>
      <c r="D24" s="136"/>
      <c r="E24" s="136"/>
      <c r="F24" s="137">
        <f>SUM(F14:F23)</f>
        <v>0.0</v>
      </c>
      <c r="G24" s="358">
        <f>SUM(G14:G23)</f>
        <v>7481.0</v>
      </c>
      <c r="H24" s="358">
        <f t="shared" si="0" ref="H24:J24">SUM(H14:H23)</f>
        <v>32118.0</v>
      </c>
      <c r="I24" s="358">
        <f t="shared" si="0"/>
        <v>38284.0</v>
      </c>
      <c r="J24" s="359">
        <f t="shared" si="0"/>
        <v>63895.0</v>
      </c>
    </row>
    <row r="25" spans="6:10" ht="15">
      <c r="F25" s="150"/>
      <c r="G25" s="150"/>
      <c r="H25" s="150"/>
      <c r="I25" s="150"/>
      <c r="J25" s="150"/>
    </row>
    <row r="26" spans="3:10" ht="15">
      <c r="C26" s="33" t="s">
        <v>62</v>
      </c>
      <c r="F26" s="150"/>
      <c r="G26" s="150"/>
      <c r="H26" s="150"/>
      <c r="I26" s="150"/>
      <c r="J26" s="150"/>
    </row>
    <row r="27" spans="4:10" ht="15">
      <c r="D27" s="34" t="s">
        <v>242</v>
      </c>
      <c r="F27" s="149"/>
      <c r="G27" s="150">
        <f>MAX('5 - Concentration'!G39-'5 - Concentration'!D39,0)</f>
        <v>1954.0</v>
      </c>
      <c r="H27" s="150">
        <f>MAX('5 - Concentration'!H39-'5 - Concentration'!G39,0)</f>
        <v>4111.0</v>
      </c>
      <c r="I27" s="150">
        <f>MAX('5 - Concentration'!I39-'5 - Concentration'!H39,0)</f>
        <v>6637.0</v>
      </c>
      <c r="J27" s="150">
        <f>MAX('5 - Concentration'!J39-'5 - Concentration'!I39,0)</f>
        <v>14821.0</v>
      </c>
    </row>
    <row r="28" spans="4:10" ht="15">
      <c r="D28" s="34" t="s">
        <v>243</v>
      </c>
      <c r="F28" s="149"/>
      <c r="G28" s="150">
        <f>MAX('5 - Concentration'!G40-'5 - Concentration'!D40,0)</f>
        <v>0.0</v>
      </c>
      <c r="H28" s="150">
        <f>MAX('5 - Concentration'!H40-'5 - Concentration'!G40,0)</f>
        <v>7428.0</v>
      </c>
      <c r="I28" s="150">
        <f>MAX('5 - Concentration'!I40-'5 - Concentration'!H40,0)</f>
        <v>9896.0</v>
      </c>
      <c r="J28" s="150">
        <f>MAX('5 - Concentration'!J40-'5 - Concentration'!I40,0)</f>
        <v>7325.0</v>
      </c>
    </row>
    <row r="29" spans="4:10" ht="15">
      <c r="D29" s="34" t="s">
        <v>244</v>
      </c>
      <c r="F29" s="149"/>
      <c r="G29" s="150">
        <f>MIN('5 - Concentration'!G14-'5 - Concentration'!D14,0)*-1</f>
        <v>0.0</v>
      </c>
      <c r="H29" s="150">
        <f>MIN('5 - Concentration'!H14-'5 - Concentration'!G14,0)*-1</f>
        <v>0.0</v>
      </c>
      <c r="I29" s="150">
        <f>MIN('5 - Concentration'!I14-'5 - Concentration'!H14,0)*-1</f>
        <v>0.0</v>
      </c>
      <c r="J29" s="150">
        <f>MIN('5 - Concentration'!J14-'5 - Concentration'!I14,0)*-1</f>
        <v>0.0</v>
      </c>
    </row>
    <row r="30" spans="4:10" ht="15">
      <c r="D30" s="34" t="s">
        <v>245</v>
      </c>
      <c r="F30" s="149"/>
      <c r="G30" s="150">
        <f>MIN('5 - Concentration'!G15-'5 - Concentration'!D15,0)*-1</f>
        <v>2261.0</v>
      </c>
      <c r="H30" s="150">
        <f>MIN('5 - Concentration'!H15-'5 - Concentration'!G15,0)*-1</f>
        <v>571.0</v>
      </c>
      <c r="I30" s="150">
        <f>MIN('5 - Concentration'!I15-'5 - Concentration'!H15,0)*-1</f>
        <v>0.0</v>
      </c>
      <c r="J30" s="150">
        <f>MIN('5 - Concentration'!J15-'5 - Concentration'!I15,0)*-1</f>
        <v>11675.0</v>
      </c>
    </row>
    <row r="31" spans="4:10" ht="15">
      <c r="D31" s="34" t="s">
        <v>246</v>
      </c>
      <c r="F31" s="149"/>
      <c r="G31" s="150">
        <f>MIN('5 - Concentration'!G16-'5 - Concentration'!D16,0)*-1</f>
        <v>1499.0</v>
      </c>
      <c r="H31" s="150">
        <f>MIN('5 - Concentration'!H16-'5 - Concentration'!G16,0)*-1</f>
        <v>0.0</v>
      </c>
      <c r="I31" s="150">
        <f>MIN('5 - Concentration'!I16-'5 - Concentration'!H16,0)*-1</f>
        <v>0.0</v>
      </c>
      <c r="J31" s="150">
        <f>MIN('5 - Concentration'!J16-'5 - Concentration'!I16,0)*-1</f>
        <v>9801.0</v>
      </c>
    </row>
    <row r="32" spans="4:10" ht="15">
      <c r="D32" s="34" t="s">
        <v>247</v>
      </c>
      <c r="F32" s="149"/>
      <c r="G32" s="150">
        <f>MIN('5 - Concentration'!G21-'5 - Concentration'!D21,0)*-1</f>
        <v>3730.0</v>
      </c>
      <c r="H32" s="150">
        <f>MIN('5 - Concentration'!H21-'5 - Concentration'!G21,0)*-1</f>
        <v>4686.0</v>
      </c>
      <c r="I32" s="150">
        <f>MIN('5 - Concentration'!I21-'5 - Concentration'!H21,0)*-1</f>
        <v>628.0</v>
      </c>
      <c r="J32" s="150">
        <f>MIN('5 - Concentration'!J21-'5 - Concentration'!I21,0)*-1</f>
        <v>0.0</v>
      </c>
    </row>
    <row r="33" spans="4:10" ht="15">
      <c r="D33" s="34" t="s">
        <v>151</v>
      </c>
      <c r="F33" s="149"/>
      <c r="G33" s="150">
        <f>MIN('5 - Concentration'!G27-'5 - Concentration'!D27,0)*-1</f>
        <v>3000.0</v>
      </c>
      <c r="H33" s="150">
        <f>MIN('5 - Concentration'!H27-'5 - Concentration'!G27,0)*-1</f>
        <v>14519.0</v>
      </c>
      <c r="I33" s="150">
        <f>MIN('5 - Concentration'!I27-'5 - Concentration'!H27,0)*-1</f>
        <v>20054.0</v>
      </c>
      <c r="J33" s="150">
        <f>MIN('5 - Concentration'!J27-'5 - Concentration'!I27,0)*-1</f>
        <v>0.0</v>
      </c>
    </row>
    <row r="34" spans="4:10" ht="15">
      <c r="D34" s="34" t="s">
        <v>248</v>
      </c>
      <c r="F34" s="149"/>
      <c r="G34" s="150">
        <f>MIN('5 - Concentration'!G32-'5 - Concentration'!D32,0)*-1</f>
        <v>0.0</v>
      </c>
      <c r="H34" s="150">
        <f>MIN('5 - Concentration'!H32-'5 - Concentration'!G32,0)*-1</f>
        <v>0.0</v>
      </c>
      <c r="I34" s="150">
        <f>MIN('5 - Concentration'!I32-'5 - Concentration'!H32,0)*-1</f>
        <v>0.0</v>
      </c>
      <c r="J34" s="150">
        <f>MIN('5 - Concentration'!J32-'5 - Concentration'!I32,0)*-1</f>
        <v>16155.0</v>
      </c>
    </row>
    <row r="35" spans="4:10" ht="15">
      <c r="D35" s="34" t="s">
        <v>222</v>
      </c>
      <c r="F35" s="149"/>
      <c r="G35" s="150">
        <f>MAX('5 - Concentration'!G41-'5 - Concentration'!D41,0)</f>
        <v>457.0</v>
      </c>
      <c r="H35" s="150">
        <f>MAX('5 - Concentration'!H41-'5 - Concentration'!G41,0)</f>
        <v>656.0</v>
      </c>
      <c r="I35" s="150">
        <f>MAX('5 - Concentration'!I41-'5 - Concentration'!H41,0)</f>
        <v>1064.0</v>
      </c>
      <c r="J35" s="150">
        <f>MAX('5 - Concentration'!J41-'5 - Concentration'!I41,0)</f>
        <v>4008.0</v>
      </c>
    </row>
    <row r="36" spans="4:10" ht="15">
      <c r="D36" s="34" t="s">
        <v>249</v>
      </c>
      <c r="F36" s="149"/>
      <c r="G36" s="150">
        <f>MIN('5 - Concentration'!G49-'5 - Concentration'!D49,0)*-1</f>
        <v>0.0</v>
      </c>
      <c r="H36" s="150">
        <f>MIN('5 - Concentration'!H49-'5 - Concentration'!G49,0)*-1</f>
        <v>0.0</v>
      </c>
      <c r="I36" s="150">
        <f>MIN('5 - Concentration'!I49-'5 - Concentration'!H49,0)*-1</f>
        <v>0.0</v>
      </c>
      <c r="J36" s="150">
        <f>MIN('5 - Concentration'!J49-'5 - Concentration'!I49,0)*-1</f>
        <v>0.0</v>
      </c>
    </row>
    <row r="37" spans="2:10" ht="15">
      <c r="B37" s="104" t="s">
        <v>66</v>
      </c>
      <c r="C37" s="135" t="s">
        <v>63</v>
      </c>
      <c r="D37" s="136"/>
      <c r="E37" s="136"/>
      <c r="F37" s="137">
        <f t="shared" si="1" ref="F37:I37">SUM(F27:F36)</f>
        <v>0.0</v>
      </c>
      <c r="G37" s="137">
        <f t="shared" si="1"/>
        <v>12901.0</v>
      </c>
      <c r="H37" s="137">
        <f t="shared" si="1"/>
        <v>31971.0</v>
      </c>
      <c r="I37" s="137">
        <f t="shared" si="1"/>
        <v>38279.0</v>
      </c>
      <c r="J37" s="138">
        <f>SUM(J27:J36)</f>
        <v>63785.0</v>
      </c>
    </row>
    <row r="39" spans="2:10" ht="15">
      <c r="B39" s="104" t="s">
        <v>67</v>
      </c>
      <c r="C39" s="135" t="s">
        <v>70</v>
      </c>
      <c r="D39" s="136"/>
      <c r="E39" s="136"/>
      <c r="F39" s="137">
        <f t="shared" si="2" ref="F39:J39">+F24-F37</f>
        <v>0.0</v>
      </c>
      <c r="G39" s="137">
        <f>+G24-G37</f>
        <v>-5420.0</v>
      </c>
      <c r="H39" s="137">
        <f>+H24-H37</f>
        <v>147.0</v>
      </c>
      <c r="I39" s="137">
        <f t="shared" si="2"/>
        <v>5.0</v>
      </c>
      <c r="J39" s="138">
        <f t="shared" si="2"/>
        <v>110.0</v>
      </c>
    </row>
    <row r="40" spans="3:10" ht="15">
      <c r="C40" s="33" t="s">
        <v>71</v>
      </c>
      <c r="G40" s="357">
        <f>+G24/G37</f>
        <v>0.5798775288737307</v>
      </c>
      <c r="H40" s="357">
        <f>+H24/H37</f>
        <v>1.0045979168621564</v>
      </c>
      <c r="I40" s="357">
        <f>+I24/I37</f>
        <v>1.0001306199221505</v>
      </c>
      <c r="J40" s="357">
        <f>+J24/J37</f>
        <v>1.0017245433879438</v>
      </c>
    </row>
    <row r="41" spans="3:10" ht="15">
      <c r="C41" s="33" t="s">
        <v>228</v>
      </c>
      <c r="G41" s="357"/>
      <c r="H41" s="357">
        <f>SUM($G24:H24)/SUM($G37:H37)</f>
        <v>0.8824879657692993</v>
      </c>
      <c r="I41" s="357">
        <f>SUM($G24:I24)/SUM($G37:I37)</f>
        <v>0.9366453800916406</v>
      </c>
      <c r="J41" s="357">
        <f>SUM($G24:J24)/SUM($G37:J37)</f>
        <v>0.9648962813742037</v>
      </c>
    </row>
    <row r="42" spans="7:10" ht="15">
      <c r="G42" s="139"/>
      <c r="H42" s="139"/>
      <c r="I42" s="139"/>
      <c r="J42" s="139"/>
    </row>
    <row r="43" spans="2:10" ht="15">
      <c r="B43" s="104" t="s">
        <v>73</v>
      </c>
      <c r="C43" s="135" t="s">
        <v>225</v>
      </c>
      <c r="D43" s="136"/>
      <c r="E43" s="136"/>
      <c r="F43" s="137">
        <f>F11+F24-F37</f>
        <v>10700.0</v>
      </c>
      <c r="G43" s="137">
        <f>G11+G24-G37</f>
        <v>5280.0</v>
      </c>
      <c r="H43" s="137">
        <f>H11+H24-H37</f>
        <v>5427.0</v>
      </c>
      <c r="I43" s="137">
        <f>I11+I24-I37</f>
        <v>5432.0</v>
      </c>
      <c r="J43" s="138">
        <f>J11+J24-J37</f>
        <v>5542.0</v>
      </c>
    </row>
    <row r="45" spans="3:3" ht="15">
      <c r="C45" s="33" t="s">
        <v>68</v>
      </c>
    </row>
    <row r="46" spans="4:10" ht="15">
      <c r="D46" s="34" t="s">
        <v>250</v>
      </c>
      <c r="F46" s="32">
        <f>+'4 - Capacity'!K11+'4 - Capacity'!I14</f>
        <v>22000.0</v>
      </c>
      <c r="G46" s="32">
        <f>F46-('5 - Concentration'!G29-'5 - Concentration'!D29)</f>
        <v>21594.0</v>
      </c>
      <c r="H46" s="32">
        <f>G46-('5 - Concentration'!H29-'5 - Concentration'!G29)</f>
        <v>20993.0</v>
      </c>
      <c r="I46" s="32">
        <f>H46-('5 - Concentration'!I29-'5 - Concentration'!H29)</f>
        <v>20205.0</v>
      </c>
      <c r="J46" s="32">
        <f>I46-('5 - Concentration'!J29-'5 - Concentration'!I29)</f>
        <v>18946.0</v>
      </c>
    </row>
    <row r="47" spans="3:10" ht="15">
      <c r="C47" s="33" t="s">
        <v>209</v>
      </c>
      <c r="D47" s="34" t="s">
        <v>251</v>
      </c>
      <c r="E47" s="208">
        <f>+'1 - Summary'!E35</f>
        <v>0.15</v>
      </c>
      <c r="F47" s="32">
        <f>MIN('4 - Capacity'!$K$30,($E$47*$F$7)-'5 - Concentration'!D30)</f>
        <v>55386.2</v>
      </c>
      <c r="G47" s="32">
        <f>MIN('4 - Capacity'!$K$30,($E$47*$G$7)-'5 - Concentration'!G30)</f>
        <v>48757.25</v>
      </c>
      <c r="H47" s="32">
        <f>MIN('4 - Capacity'!$K$30,($E$47*$H$7)-'5 - Concentration'!H30)</f>
        <v>25026.699999999997</v>
      </c>
      <c r="I47" s="32">
        <f>MIN('4 - Capacity'!$K$30,($E$47*$I$7)-'5 - Concentration'!I30)</f>
        <v>20184.149999999994</v>
      </c>
      <c r="J47" s="32">
        <f>MIN('4 - Capacity'!$K$30,($E$47*$J$7)-'5 - Concentration'!J30)</f>
        <v>41537.75</v>
      </c>
    </row>
    <row r="48" spans="2:10" s="344" customFormat="1" ht="12.75">
      <c r="B48" s="343"/>
      <c r="C48" s="343"/>
      <c r="D48" s="344" t="s">
        <v>210</v>
      </c>
      <c r="F48" s="345"/>
      <c r="G48" s="345"/>
      <c r="H48" s="345"/>
      <c r="I48" s="345"/>
      <c r="J48" s="345"/>
    </row>
    <row r="49" spans="2:10" s="344" customFormat="1" ht="12.75">
      <c r="B49" s="343"/>
      <c r="C49" s="343"/>
      <c r="F49" s="345"/>
      <c r="G49" s="345"/>
      <c r="H49" s="345"/>
      <c r="I49" s="345"/>
      <c r="J49" s="345"/>
    </row>
    <row r="50" spans="2:11" s="285" customFormat="1" ht="18.75">
      <c r="B50" s="93"/>
      <c r="C50" s="94"/>
      <c r="D50" s="95" t="s">
        <v>76</v>
      </c>
      <c r="E50" s="95"/>
      <c r="F50" s="96">
        <f>+'4 - Capacity'!K21</f>
        <v>30918.0</v>
      </c>
      <c r="G50" s="96">
        <f>F50</f>
        <v>30918.0</v>
      </c>
      <c r="H50" s="96">
        <f>G50</f>
        <v>30918.0</v>
      </c>
      <c r="I50" s="96">
        <f>H50</f>
        <v>30918.0</v>
      </c>
      <c r="J50" s="97">
        <f>I50</f>
        <v>30918.0</v>
      </c>
      <c r="K50" s="34"/>
    </row>
    <row r="51" spans="2:10" s="285" customFormat="1" ht="15.75">
      <c r="B51" s="141" t="s">
        <v>74</v>
      </c>
      <c r="C51" s="142"/>
      <c r="D51" s="142" t="s">
        <v>127</v>
      </c>
      <c r="E51" s="275">
        <f>+'1 - Summary'!E42</f>
        <v>0.05</v>
      </c>
      <c r="F51" s="286">
        <f>-$E51*F7</f>
        <v>-36605.4</v>
      </c>
      <c r="G51" s="286">
        <f>-$E51*G7</f>
        <v>-36452.75</v>
      </c>
      <c r="H51" s="286">
        <f>-$E51*H7</f>
        <v>-37069.9</v>
      </c>
      <c r="I51" s="286">
        <f>-$E51*I7</f>
        <v>-37950.05</v>
      </c>
      <c r="J51" s="287">
        <f>-$E51*J7</f>
        <v>-39263.25</v>
      </c>
    </row>
    <row r="52" spans="2:10" ht="15">
      <c r="B52" s="104" t="s">
        <v>78</v>
      </c>
      <c r="C52" s="135" t="s">
        <v>75</v>
      </c>
      <c r="D52" s="136"/>
      <c r="E52" s="136"/>
      <c r="F52" s="137">
        <f>SUM(F46:F51)</f>
        <v>71698.79999999999</v>
      </c>
      <c r="G52" s="137">
        <f>SUM(G46:G51)</f>
        <v>64816.5</v>
      </c>
      <c r="H52" s="137">
        <f>SUM(H46:H51)</f>
        <v>39867.799999999996</v>
      </c>
      <c r="I52" s="137">
        <f>SUM(I46:I51)</f>
        <v>33357.09999999999</v>
      </c>
      <c r="J52" s="138">
        <f>SUM(J46:J51)</f>
        <v>52138.5</v>
      </c>
    </row>
    <row r="54" spans="2:10" ht="18.75">
      <c r="B54" s="93" t="s">
        <v>79</v>
      </c>
      <c r="C54" s="94" t="s">
        <v>229</v>
      </c>
      <c r="D54" s="95"/>
      <c r="E54" s="95"/>
      <c r="F54" s="96">
        <f>+F52+F43</f>
        <v>82398.79999999999</v>
      </c>
      <c r="G54" s="96">
        <f>+G52+G43</f>
        <v>70096.5</v>
      </c>
      <c r="H54" s="96">
        <f>+H52+H43</f>
        <v>45294.799999999996</v>
      </c>
      <c r="I54" s="96">
        <f>+I52+I43</f>
        <v>38789.09999999999</v>
      </c>
      <c r="J54" s="97">
        <f>+J52+J43</f>
        <v>57680.5</v>
      </c>
    </row>
    <row r="55" spans="2:10" ht="15">
      <c r="B55" s="141"/>
      <c r="C55" s="142" t="s">
        <v>264</v>
      </c>
      <c r="D55" s="143"/>
      <c r="E55" s="275">
        <f>+'1 - Summary'!E13</f>
        <v>0.2</v>
      </c>
      <c r="F55" s="144">
        <f>+F54/F7</f>
        <v>0.11255006091997354</v>
      </c>
      <c r="G55" s="144">
        <f>+G54/G7</f>
        <v>0.09614706709370349</v>
      </c>
      <c r="H55" s="144">
        <f>+H54/H7</f>
        <v>0.061093771496551104</v>
      </c>
      <c r="I55" s="144">
        <f>+I54/I7</f>
        <v>0.05110546626420781</v>
      </c>
      <c r="J55" s="145">
        <f>+J54/J7</f>
        <v>0.07345354752854132</v>
      </c>
    </row>
    <row r="57" spans="2:2" ht="18.75">
      <c r="B57" s="134" t="s">
        <v>124</v>
      </c>
    </row>
    <row r="58" spans="2:10" ht="18.75">
      <c r="B58" s="134"/>
      <c r="D58" s="34" t="s">
        <v>252</v>
      </c>
      <c r="F58" s="32">
        <f>-F51</f>
        <v>36605.4</v>
      </c>
      <c r="G58" s="32">
        <f>-G51</f>
        <v>36452.75</v>
      </c>
      <c r="H58" s="32">
        <f>-H51</f>
        <v>37069.9</v>
      </c>
      <c r="I58" s="32">
        <f>-I51</f>
        <v>37950.05</v>
      </c>
      <c r="J58" s="32">
        <f>-J51</f>
        <v>39263.25</v>
      </c>
    </row>
    <row r="59" spans="4:10" ht="15">
      <c r="D59" s="34" t="s">
        <v>253</v>
      </c>
      <c r="E59" s="208">
        <f>+'1 - Summary'!E34</f>
        <v>0.1</v>
      </c>
      <c r="F59" s="32">
        <f>+($E$59*F7)-'5 - Concentration'!D26</f>
        <v>63283.8</v>
      </c>
      <c r="G59" s="32">
        <f>(+$E$59*G7)-'5 - Concentration'!G26</f>
        <v>62978.5</v>
      </c>
      <c r="H59" s="32">
        <f>(+$E$59*H7)-'5 - Concentration'!H26</f>
        <v>64212.8</v>
      </c>
      <c r="I59" s="32">
        <f>(+$E$59*I7)-'5 - Concentration'!I26</f>
        <v>65973.1</v>
      </c>
      <c r="J59" s="32">
        <f>(+$E$59*J7)-'5 - Concentration'!J26</f>
        <v>68599.5</v>
      </c>
    </row>
    <row r="60" spans="4:10" ht="15">
      <c r="D60" s="34" t="s">
        <v>254</v>
      </c>
      <c r="F60" s="32">
        <f>+'4 - Capacity'!K30-F47</f>
        <v>169115.81461875</v>
      </c>
      <c r="G60" s="32">
        <f>+'4 - Capacity'!K30-G47</f>
        <v>175744.76461875</v>
      </c>
      <c r="H60" s="32">
        <f>+'4 - Capacity'!K30-H47</f>
        <v>199475.31461875</v>
      </c>
      <c r="I60" s="32">
        <f>+'4 - Capacity'!K30-I47</f>
        <v>204317.86461875</v>
      </c>
      <c r="J60" s="32">
        <f>+'4 - Capacity'!K30-J47</f>
        <v>182964.26461875</v>
      </c>
    </row>
    <row r="61" spans="4:10" ht="15">
      <c r="D61" s="34" t="s">
        <v>72</v>
      </c>
      <c r="F61" s="32">
        <f>+'4 - Capacity'!K40</f>
        <v>3372.011075</v>
      </c>
      <c r="G61" s="32">
        <f>+F61</f>
        <v>3372.011075</v>
      </c>
      <c r="H61" s="32">
        <f t="shared" si="3" ref="H61:J61">+G61</f>
        <v>3372.011075</v>
      </c>
      <c r="I61" s="32">
        <f t="shared" si="3"/>
        <v>3372.011075</v>
      </c>
      <c r="J61" s="32">
        <f t="shared" si="3"/>
        <v>3372.011075</v>
      </c>
    </row>
    <row r="62" spans="2:10" ht="15">
      <c r="B62" s="104" t="s">
        <v>227</v>
      </c>
      <c r="C62" s="135" t="s">
        <v>77</v>
      </c>
      <c r="D62" s="136"/>
      <c r="E62" s="136"/>
      <c r="F62" s="137">
        <f>SUM(F58:F61)</f>
        <v>272377.02569375</v>
      </c>
      <c r="G62" s="137">
        <f>SUM(G58:G61)</f>
        <v>278548.02569374995</v>
      </c>
      <c r="H62" s="137">
        <f>SUM(H58:H61)</f>
        <v>304130.02569375</v>
      </c>
      <c r="I62" s="137">
        <f>SUM(I58:I61)</f>
        <v>311613.02569375</v>
      </c>
      <c r="J62" s="138">
        <f>SUM(J58:J61)</f>
        <v>294199.02569374995</v>
      </c>
    </row>
    <row r="64" spans="2:10" ht="18.75">
      <c r="B64" s="147" t="s">
        <v>230</v>
      </c>
      <c r="C64" s="148"/>
      <c r="D64" s="95"/>
      <c r="E64" s="95"/>
      <c r="F64" s="96">
        <f>+F54+F62</f>
        <v>354775.82569375</v>
      </c>
      <c r="G64" s="96">
        <f>+G54+G62</f>
        <v>348644.52569374995</v>
      </c>
      <c r="H64" s="96">
        <f>+H54+H62</f>
        <v>349424.82569375</v>
      </c>
      <c r="I64" s="96">
        <f>+I54+I62</f>
        <v>350402.12569375</v>
      </c>
      <c r="J64" s="97">
        <f>+J54+J62</f>
        <v>351879.52569374995</v>
      </c>
    </row>
    <row r="65" spans="2:10" ht="15" thickBot="1">
      <c r="B65" s="141"/>
      <c r="C65" s="142" t="s">
        <v>59</v>
      </c>
      <c r="D65" s="143"/>
      <c r="E65" s="275">
        <f>+'1 - Summary'!E16</f>
        <v>0.3</v>
      </c>
      <c r="F65" s="144">
        <f>+F64/F7</f>
        <v>0.48459493093061407</v>
      </c>
      <c r="G65" s="144">
        <f>+G64/G7</f>
        <v>0.4782142989126334</v>
      </c>
      <c r="H65" s="144">
        <f>+H64/H7</f>
        <v>0.47130532547127185</v>
      </c>
      <c r="I65" s="144">
        <f>+I64/I7</f>
        <v>0.46166227145122335</v>
      </c>
      <c r="J65" s="145">
        <f>+J64/J7</f>
        <v>0.4481029024517201</v>
      </c>
    </row>
  </sheetData>
  <mergeCells count="3">
    <mergeCell ref="B1:J1"/>
    <mergeCell ref="B2:J2"/>
    <mergeCell ref="B3:J3"/>
  </mergeCells>
  <printOptions horizontalCentered="1"/>
  <pageMargins left="0.25" right="0.25" top="0.75" bottom="0.5" header="0.3" footer="0.3"/>
  <pageSetup orientation="portrait" scale="71" r:id="rId2"/>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mc:Ignorable="x14ac" xr:uid="{a48ebe9a-e68d-4187-9929-b512854ecd17}">
  <sheetPr codeName="Sheet6">
    <tabColor rgb="FF0000FF"/>
    <pageSetUpPr fitToPage="1"/>
  </sheetPr>
  <dimension ref="B1:Z80"/>
  <sheetViews>
    <sheetView zoomScale="85" zoomScaleNormal="85" workbookViewId="0" topLeftCell="A1">
      <pane xSplit="6" ySplit="8" topLeftCell="G9" activePane="bottomRight" state="frozen"/>
      <selection pane="topLeft" activeCell="B13" sqref="B13"/>
      <selection pane="bottomLeft" activeCell="B13" sqref="B13"/>
      <selection pane="topRight" activeCell="B13" sqref="B13"/>
      <selection pane="bottomRight" activeCell="B1" sqref="B1:R1"/>
    </sheetView>
  </sheetViews>
  <sheetFormatPr defaultColWidth="9.145" defaultRowHeight="15"/>
  <cols>
    <col min="1" max="1" width="15.75" style="2" customWidth="1"/>
    <col min="2" max="2" width="3.75" style="1" customWidth="1"/>
    <col min="3" max="3" width="3.75" style="3" customWidth="1"/>
    <col min="4" max="4" width="3.75" style="2" customWidth="1"/>
    <col min="5" max="5" width="3.75" style="3" customWidth="1"/>
    <col min="6" max="6" width="29.25" style="2" customWidth="1"/>
    <col min="7" max="7" width="2.125" style="14" customWidth="1"/>
    <col min="8" max="10" width="9.75" style="2" customWidth="1"/>
    <col min="11" max="11" width="2" style="2" customWidth="1"/>
    <col min="12" max="12" width="10.75" style="14" customWidth="1"/>
    <col min="13" max="13" width="10.75" style="25" customWidth="1"/>
    <col min="14" max="14" width="10.75" style="6" hidden="1" customWidth="1"/>
    <col min="15" max="15" width="9" style="330" customWidth="1"/>
    <col min="16" max="16" width="3.125" style="10" customWidth="1"/>
    <col min="17" max="17" width="12.625" style="14" customWidth="1"/>
    <col min="18" max="18" width="9" style="2" customWidth="1"/>
    <col min="19" max="20" width="9.125" style="2"/>
    <col min="21" max="21" width="6.875" style="2" customWidth="1"/>
    <col min="22" max="16384" width="9.125" style="2"/>
  </cols>
  <sheetData>
    <row r="1" spans="2:18" ht="21">
      <c r="B1" s="512" t="str">
        <f>Description!B4</f>
        <v>Sample Bank</v>
      </c>
      <c r="C1" s="513"/>
      <c r="D1" s="513"/>
      <c r="E1" s="513"/>
      <c r="F1" s="513"/>
      <c r="G1" s="513"/>
      <c r="H1" s="513"/>
      <c r="I1" s="513"/>
      <c r="J1" s="513"/>
      <c r="K1" s="513"/>
      <c r="L1" s="513"/>
      <c r="M1" s="513"/>
      <c r="N1" s="513"/>
      <c r="O1" s="513"/>
      <c r="P1" s="513"/>
      <c r="Q1" s="513"/>
      <c r="R1" s="514"/>
    </row>
    <row r="2" spans="2:18" ht="21">
      <c r="B2" s="515" t="s">
        <v>298</v>
      </c>
      <c r="C2" s="516"/>
      <c r="D2" s="516"/>
      <c r="E2" s="516"/>
      <c r="F2" s="516"/>
      <c r="G2" s="516"/>
      <c r="H2" s="516"/>
      <c r="I2" s="516"/>
      <c r="J2" s="516"/>
      <c r="K2" s="516"/>
      <c r="L2" s="516"/>
      <c r="M2" s="516"/>
      <c r="N2" s="516"/>
      <c r="O2" s="516"/>
      <c r="P2" s="516"/>
      <c r="Q2" s="516"/>
      <c r="R2" s="517"/>
    </row>
    <row r="3" spans="2:18" ht="16.5" thickBot="1">
      <c r="B3" s="518">
        <f>Description!B2</f>
        <v>43830.0</v>
      </c>
      <c r="C3" s="519"/>
      <c r="D3" s="519"/>
      <c r="E3" s="519"/>
      <c r="F3" s="519"/>
      <c r="G3" s="519"/>
      <c r="H3" s="519"/>
      <c r="I3" s="519"/>
      <c r="J3" s="519"/>
      <c r="K3" s="519"/>
      <c r="L3" s="519"/>
      <c r="M3" s="519"/>
      <c r="N3" s="519"/>
      <c r="O3" s="519"/>
      <c r="P3" s="519"/>
      <c r="Q3" s="519"/>
      <c r="R3" s="520"/>
    </row>
    <row r="4" spans="3:12" ht="15" customHeight="1">
      <c r="C4" s="182"/>
      <c r="D4" s="182"/>
      <c r="E4" s="182"/>
      <c r="F4" s="182"/>
      <c r="G4" s="182"/>
      <c r="H4" s="182"/>
      <c r="I4" s="182"/>
      <c r="J4" s="182"/>
      <c r="K4" s="182"/>
      <c r="L4" s="334"/>
    </row>
    <row r="5" spans="2:17" s="20" customFormat="1" ht="18">
      <c r="B5" s="281"/>
      <c r="C5" s="232"/>
      <c r="D5" s="229" t="s">
        <v>146</v>
      </c>
      <c r="E5" s="231" t="s">
        <v>167</v>
      </c>
      <c r="F5" s="232"/>
      <c r="G5" s="21"/>
      <c r="H5" s="511"/>
      <c r="I5" s="511"/>
      <c r="L5" s="21"/>
      <c r="M5" s="511"/>
      <c r="N5" s="511"/>
      <c r="O5" s="511" t="s">
        <v>107</v>
      </c>
      <c r="P5" s="511"/>
      <c r="Q5" s="11">
        <f>+' 2 - Sources &amp; Uses'!F7</f>
        <v>732108.0</v>
      </c>
    </row>
    <row r="6" spans="2:6" ht="15">
      <c r="B6" s="282"/>
      <c r="C6" s="232"/>
      <c r="D6" s="274" t="s">
        <v>196</v>
      </c>
      <c r="E6" s="231" t="s">
        <v>294</v>
      </c>
      <c r="F6" s="232"/>
    </row>
    <row r="7" spans="2:17" ht="15">
      <c r="B7" s="2"/>
      <c r="C7" s="2"/>
      <c r="E7" s="2"/>
      <c r="H7" s="508" t="s">
        <v>125</v>
      </c>
      <c r="I7" s="509"/>
      <c r="J7" s="510"/>
      <c r="L7" s="508" t="s">
        <v>13</v>
      </c>
      <c r="M7" s="509"/>
      <c r="N7" s="509"/>
      <c r="O7" s="510"/>
      <c r="Q7" s="19" t="s">
        <v>29</v>
      </c>
    </row>
    <row r="8" spans="2:17" ht="28.5" customHeight="1">
      <c r="B8" s="111" t="s">
        <v>30</v>
      </c>
      <c r="G8" s="15"/>
      <c r="H8" s="283" t="s">
        <v>10</v>
      </c>
      <c r="I8" s="283" t="s">
        <v>11</v>
      </c>
      <c r="J8" s="283" t="s">
        <v>12</v>
      </c>
      <c r="K8" s="18" t="s">
        <v>25</v>
      </c>
      <c r="L8" s="327">
        <f>Description!B2</f>
        <v>43830.0</v>
      </c>
      <c r="M8" s="327">
        <f>Description!B3</f>
        <v>43738.0</v>
      </c>
      <c r="N8" s="7">
        <v>40086.0</v>
      </c>
      <c r="O8" s="329" t="s">
        <v>207</v>
      </c>
      <c r="Q8" s="323"/>
    </row>
    <row r="9" spans="2:17" ht="15.75">
      <c r="B9" s="4"/>
      <c r="G9" s="15"/>
      <c r="H9" s="300"/>
      <c r="I9" s="169"/>
      <c r="J9" s="301"/>
      <c r="K9" s="18"/>
      <c r="L9" s="288"/>
      <c r="M9" s="328"/>
      <c r="N9" s="170"/>
      <c r="O9" s="331"/>
      <c r="Q9" s="323"/>
    </row>
    <row r="10" spans="2:17" ht="15.75">
      <c r="B10" s="23" t="s">
        <v>295</v>
      </c>
      <c r="C10" s="87"/>
      <c r="D10" s="87"/>
      <c r="F10" s="22"/>
      <c r="H10" s="302"/>
      <c r="I10" s="303"/>
      <c r="J10" s="304"/>
      <c r="L10" s="171">
        <f>Q5</f>
        <v>732108.0</v>
      </c>
      <c r="M10" s="335">
        <v>722314.0</v>
      </c>
      <c r="N10" s="289"/>
      <c r="O10" s="331"/>
      <c r="Q10" s="323"/>
    </row>
    <row r="11" spans="2:17" ht="15">
      <c r="B11" s="87"/>
      <c r="C11" s="87" t="s">
        <v>273</v>
      </c>
      <c r="D11" s="87"/>
      <c r="H11" s="305"/>
      <c r="I11" s="306"/>
      <c r="J11" s="307"/>
      <c r="K11" s="3"/>
      <c r="L11" s="171">
        <f>'1 - Summary'!G10</f>
        <v>41618.0</v>
      </c>
      <c r="M11" s="335">
        <v>55180.0</v>
      </c>
      <c r="N11" s="290"/>
      <c r="O11" s="292"/>
      <c r="P11" s="24"/>
      <c r="Q11" s="323"/>
    </row>
    <row r="12" spans="2:17" ht="15">
      <c r="B12" s="87"/>
      <c r="C12" s="87"/>
      <c r="D12" s="87" t="s">
        <v>297</v>
      </c>
      <c r="H12" s="308">
        <v>0.15</v>
      </c>
      <c r="I12" s="309">
        <v>0.1</v>
      </c>
      <c r="J12" s="310">
        <v>0.05</v>
      </c>
      <c r="K12" s="3"/>
      <c r="L12" s="380">
        <f>L11/L10</f>
        <v>0.05684680402345009</v>
      </c>
      <c r="M12" s="172">
        <f>M11/M10</f>
        <v>0.07639336908878964</v>
      </c>
      <c r="N12" s="290"/>
      <c r="O12" s="292" t="str">
        <f>IF(L12&lt;M12,"h","")</f>
        <v>h</v>
      </c>
      <c r="P12" s="40"/>
      <c r="Q12" s="5" t="str">
        <f>IF($L12&lt;$J12,$J$8,IF($L12&lt;$I12,$I$8,IF($L12&lt;$H12,$H$8,"none")))</f>
        <v>Level 2</v>
      </c>
    </row>
    <row r="13" spans="2:17" ht="15">
      <c r="B13" s="87"/>
      <c r="C13" s="87" t="s">
        <v>0</v>
      </c>
      <c r="D13" s="87"/>
      <c r="H13" s="305"/>
      <c r="I13" s="306"/>
      <c r="J13" s="307"/>
      <c r="K13" s="3"/>
      <c r="L13" s="171">
        <f>+'1 - Summary'!G12</f>
        <v>82398.79999999999</v>
      </c>
      <c r="M13" s="335">
        <v>131773.0</v>
      </c>
      <c r="N13" s="290"/>
      <c r="O13" s="292"/>
      <c r="P13" s="24"/>
      <c r="Q13" s="323"/>
    </row>
    <row r="14" spans="2:17" ht="15">
      <c r="B14" s="87"/>
      <c r="C14" s="87"/>
      <c r="D14" s="87" t="s">
        <v>28</v>
      </c>
      <c r="H14" s="308">
        <v>0.2</v>
      </c>
      <c r="I14" s="309">
        <v>0.15</v>
      </c>
      <c r="J14" s="310">
        <v>0.1</v>
      </c>
      <c r="K14" s="3"/>
      <c r="L14" s="380">
        <f>+L13/L10</f>
        <v>0.11255006091997354</v>
      </c>
      <c r="M14" s="172">
        <f>+M13/M10</f>
        <v>0.18243174021270528</v>
      </c>
      <c r="N14" s="290"/>
      <c r="O14" s="292" t="str">
        <f>IF(L14&lt;M14,"h","")</f>
        <v>h</v>
      </c>
      <c r="P14" s="40"/>
      <c r="Q14" s="5" t="str">
        <f>IF($L14&lt;$J14,$J$8,IF($L14&lt;$I14,$I$8,IF($L14&lt;$H14,$H$8,"none")))</f>
        <v>Level 2</v>
      </c>
    </row>
    <row r="15" spans="2:17" ht="15">
      <c r="B15" s="87"/>
      <c r="C15" s="87" t="s">
        <v>128</v>
      </c>
      <c r="D15" s="87"/>
      <c r="H15" s="305"/>
      <c r="I15" s="306"/>
      <c r="J15" s="307"/>
      <c r="K15" s="3"/>
      <c r="L15" s="171">
        <f>+'1 - Summary'!G15</f>
        <v>354775.82569375</v>
      </c>
      <c r="M15" s="335">
        <v>362460.0</v>
      </c>
      <c r="N15" s="290"/>
      <c r="O15" s="292"/>
      <c r="P15" s="24"/>
      <c r="Q15" s="323"/>
    </row>
    <row r="16" spans="2:17" ht="15">
      <c r="B16" s="87"/>
      <c r="C16" s="87"/>
      <c r="D16" s="87" t="s">
        <v>152</v>
      </c>
      <c r="H16" s="308">
        <v>0.3</v>
      </c>
      <c r="I16" s="309">
        <v>0.25</v>
      </c>
      <c r="J16" s="310">
        <v>0.2</v>
      </c>
      <c r="K16" s="3"/>
      <c r="L16" s="380">
        <f>+L15/L10</f>
        <v>0.48459493093061407</v>
      </c>
      <c r="M16" s="172">
        <f>+M15/M10</f>
        <v>0.5018039246089651</v>
      </c>
      <c r="N16" s="290"/>
      <c r="O16" s="292" t="str">
        <f>IF(L16&lt;M16,"h","")</f>
        <v>h</v>
      </c>
      <c r="P16" s="24"/>
      <c r="Q16" s="5" t="str">
        <f>IF($L16&lt;$J16,$J$8,IF($L16&lt;$I16,$I$8,IF($L16&lt;$H16,$H$8,"none")))</f>
        <v>none</v>
      </c>
    </row>
    <row r="17" spans="2:17" ht="15">
      <c r="B17" s="87"/>
      <c r="C17" s="87"/>
      <c r="D17" s="87"/>
      <c r="H17" s="311"/>
      <c r="I17" s="312"/>
      <c r="J17" s="313"/>
      <c r="K17" s="3"/>
      <c r="L17" s="291"/>
      <c r="M17" s="336"/>
      <c r="N17" s="290"/>
      <c r="O17" s="292"/>
      <c r="P17" s="24"/>
      <c r="Q17" s="324"/>
    </row>
    <row r="18" spans="2:17" ht="15">
      <c r="B18" s="23" t="s">
        <v>138</v>
      </c>
      <c r="C18" s="87"/>
      <c r="D18" s="87"/>
      <c r="H18" s="311"/>
      <c r="I18" s="312"/>
      <c r="J18" s="313"/>
      <c r="K18" s="3"/>
      <c r="L18" s="291"/>
      <c r="M18" s="336"/>
      <c r="N18" s="290"/>
      <c r="O18" s="292"/>
      <c r="P18" s="24"/>
      <c r="Q18" s="324"/>
    </row>
    <row r="19" spans="2:17" ht="15">
      <c r="B19" s="87"/>
      <c r="C19" s="87" t="s">
        <v>1</v>
      </c>
      <c r="D19" s="87"/>
      <c r="H19" s="305"/>
      <c r="I19" s="306"/>
      <c r="J19" s="307"/>
      <c r="K19" s="3"/>
      <c r="L19" s="171">
        <f>+'4 - Capacity'!K40</f>
        <v>3372.011075</v>
      </c>
      <c r="M19" s="335">
        <v>3575.0</v>
      </c>
      <c r="N19" s="290"/>
      <c r="O19" s="292"/>
      <c r="P19" s="24"/>
      <c r="Q19" s="323"/>
    </row>
    <row r="20" spans="2:17" ht="15">
      <c r="B20" s="87"/>
      <c r="C20" s="87"/>
      <c r="D20" s="87" t="s">
        <v>121</v>
      </c>
      <c r="H20" s="308">
        <v>0.9</v>
      </c>
      <c r="I20" s="309">
        <v>0.8</v>
      </c>
      <c r="J20" s="310">
        <v>0.7</v>
      </c>
      <c r="K20" s="3"/>
      <c r="L20" s="172">
        <f>+'4 - Capacity'!L40</f>
        <v>1.0</v>
      </c>
      <c r="M20" s="338">
        <v>1.0</v>
      </c>
      <c r="N20" s="290"/>
      <c r="O20" s="292" t="str">
        <f>IF(L20&lt;M20,"h","")</f>
        <v/>
      </c>
      <c r="P20" s="24"/>
      <c r="Q20" s="5" t="str">
        <f>IF($L20&lt;$J20,$J$8,IF($L20&lt;$I20,$I$8,IF($L20&lt;$H20,$H$8,"none")))</f>
        <v>none</v>
      </c>
    </row>
    <row r="21" spans="2:17" ht="15">
      <c r="B21" s="87"/>
      <c r="C21" s="87" t="s">
        <v>120</v>
      </c>
      <c r="D21" s="87"/>
      <c r="H21" s="305"/>
      <c r="I21" s="306"/>
      <c r="J21" s="307"/>
      <c r="K21" s="3"/>
      <c r="L21" s="171">
        <f>+'4 - Capacity'!K30</f>
        <v>224502.01461875</v>
      </c>
      <c r="M21" s="335">
        <v>217692.0</v>
      </c>
      <c r="N21" s="290"/>
      <c r="O21" s="292"/>
      <c r="P21" s="24"/>
      <c r="Q21" s="323"/>
    </row>
    <row r="22" spans="2:17" ht="15">
      <c r="B22" s="87"/>
      <c r="C22" s="87"/>
      <c r="D22" s="87" t="s">
        <v>122</v>
      </c>
      <c r="H22" s="308">
        <v>0.5</v>
      </c>
      <c r="I22" s="309">
        <v>0.4</v>
      </c>
      <c r="J22" s="310">
        <v>0.3</v>
      </c>
      <c r="K22" s="3"/>
      <c r="L22" s="172">
        <f>+'4 - Capacity'!L30</f>
        <v>0.8048628441794461</v>
      </c>
      <c r="M22" s="338">
        <v>0.802</v>
      </c>
      <c r="N22" s="290"/>
      <c r="O22" s="292" t="str">
        <f>IF(L22&lt;M22,"h","")</f>
        <v/>
      </c>
      <c r="P22" s="24"/>
      <c r="Q22" s="5" t="str">
        <f>IF($L22&lt;$J22,$J$8,IF($L22&lt;$I22,$I$8,IF($L22&lt;$H22,$H$8,"none")))</f>
        <v>none</v>
      </c>
    </row>
    <row r="23" spans="2:17" ht="15">
      <c r="B23" s="87"/>
      <c r="C23" s="87" t="s">
        <v>282</v>
      </c>
      <c r="D23" s="87"/>
      <c r="H23" s="305"/>
      <c r="I23" s="306"/>
      <c r="J23" s="307"/>
      <c r="K23" s="3"/>
      <c r="L23" s="171">
        <f>+'4 - Capacity'!K24</f>
        <v>30918.0</v>
      </c>
      <c r="M23" s="335">
        <v>41860.0</v>
      </c>
      <c r="N23" s="290"/>
      <c r="O23" s="292"/>
      <c r="P23" s="24"/>
      <c r="Q23" s="323"/>
    </row>
    <row r="24" spans="2:17" ht="15">
      <c r="B24" s="87"/>
      <c r="C24" s="87"/>
      <c r="D24" s="87" t="s">
        <v>283</v>
      </c>
      <c r="H24" s="308">
        <v>0.5</v>
      </c>
      <c r="I24" s="309">
        <v>0.4</v>
      </c>
      <c r="J24" s="310">
        <v>0.3</v>
      </c>
      <c r="K24" s="3"/>
      <c r="L24" s="172">
        <f>+'4 - Capacity'!L24</f>
        <v>0.24277020925758705</v>
      </c>
      <c r="M24" s="338">
        <v>0.3411</v>
      </c>
      <c r="N24" s="290"/>
      <c r="O24" s="292" t="str">
        <f>IF(L24&lt;M24,"h","")</f>
        <v>h</v>
      </c>
      <c r="P24" s="24"/>
      <c r="Q24" s="5" t="str">
        <f>IF($L24&lt;$J24,$J$8,IF($L24&lt;$I24,$I$8,IF($L24&lt;$H24,$H$8,"none")))</f>
        <v>Level 3</v>
      </c>
    </row>
    <row r="25" spans="2:17" ht="15">
      <c r="B25" s="87"/>
      <c r="C25" s="87" t="s">
        <v>265</v>
      </c>
      <c r="D25" s="87"/>
      <c r="H25" s="305"/>
      <c r="I25" s="306"/>
      <c r="J25" s="307"/>
      <c r="K25" s="3"/>
      <c r="L25" s="171">
        <f>+'4 - Capacity'!K44</f>
        <v>344076.03455875</v>
      </c>
      <c r="M25" s="335">
        <v>349141.0</v>
      </c>
      <c r="N25" s="290"/>
      <c r="O25" s="292"/>
      <c r="P25" s="24"/>
      <c r="Q25" s="323"/>
    </row>
    <row r="26" spans="2:17" ht="15">
      <c r="B26" s="87"/>
      <c r="C26" s="87"/>
      <c r="D26" s="87" t="s">
        <v>266</v>
      </c>
      <c r="H26" s="308">
        <v>0.4</v>
      </c>
      <c r="I26" s="309">
        <v>0.3</v>
      </c>
      <c r="J26" s="310">
        <v>0.2</v>
      </c>
      <c r="K26" s="3"/>
      <c r="L26" s="172">
        <f>+'4 - Capacity'!L44</f>
        <v>0.6815140749231989</v>
      </c>
      <c r="M26" s="338">
        <v>0.7097</v>
      </c>
      <c r="N26" s="290"/>
      <c r="O26" s="292" t="str">
        <f>IF(L26&lt;M26,"h","")</f>
        <v>h</v>
      </c>
      <c r="P26" s="24"/>
      <c r="Q26" s="5" t="str">
        <f>IF($L26&lt;$J26,$J$8,IF($L26&lt;$I26,$I$8,IF($L26&lt;$H26,$H$8,"none")))</f>
        <v>none</v>
      </c>
    </row>
    <row r="27" spans="2:17" ht="15">
      <c r="B27" s="87"/>
      <c r="C27" s="87"/>
      <c r="D27" s="87" t="s">
        <v>262</v>
      </c>
      <c r="H27" s="308">
        <v>0.2</v>
      </c>
      <c r="I27" s="309">
        <v>0.15</v>
      </c>
      <c r="J27" s="310">
        <v>0.1</v>
      </c>
      <c r="K27" s="3"/>
      <c r="L27" s="172">
        <f>+'4 - Capacity'!K45</f>
        <v>0.46997988624458414</v>
      </c>
      <c r="M27" s="338">
        <v>0.4834</v>
      </c>
      <c r="N27" s="290"/>
      <c r="O27" s="292" t="str">
        <f>IF(L27&lt;M27,"h","")</f>
        <v>h</v>
      </c>
      <c r="P27" s="24"/>
      <c r="Q27" s="5" t="str">
        <f>IF($L27&lt;$J27,$J$8,IF($L27&lt;$I27,$I$8,IF($L27&lt;$H27,$H$8,"none")))</f>
        <v>none</v>
      </c>
    </row>
    <row r="28" spans="2:17" ht="15">
      <c r="B28" s="87"/>
      <c r="C28" s="87"/>
      <c r="D28" s="87"/>
      <c r="H28" s="311"/>
      <c r="I28" s="312"/>
      <c r="J28" s="313"/>
      <c r="K28" s="3"/>
      <c r="L28" s="291"/>
      <c r="M28" s="336"/>
      <c r="N28" s="290"/>
      <c r="O28" s="292"/>
      <c r="P28" s="24"/>
      <c r="Q28" s="324"/>
    </row>
    <row r="29" spans="2:17" ht="15">
      <c r="B29" s="23" t="s">
        <v>296</v>
      </c>
      <c r="C29" s="87"/>
      <c r="D29" s="87"/>
      <c r="H29" s="311"/>
      <c r="I29" s="312"/>
      <c r="J29" s="313"/>
      <c r="K29" s="3"/>
      <c r="L29" s="291"/>
      <c r="M29" s="336"/>
      <c r="N29" s="290"/>
      <c r="O29" s="292"/>
      <c r="P29" s="24"/>
      <c r="Q29" s="324"/>
    </row>
    <row r="30" spans="2:17" ht="15">
      <c r="B30" s="87"/>
      <c r="C30" s="87" t="s">
        <v>161</v>
      </c>
      <c r="D30" s="87"/>
      <c r="H30" s="311"/>
      <c r="I30" s="312"/>
      <c r="J30" s="313"/>
      <c r="K30" s="3"/>
      <c r="L30" s="171">
        <f>+'5 - Concentration'!D30</f>
        <v>54430.0</v>
      </c>
      <c r="M30" s="335">
        <v>53754.0</v>
      </c>
      <c r="N30" s="293"/>
      <c r="O30" s="292"/>
      <c r="P30" s="24"/>
      <c r="Q30" s="323"/>
    </row>
    <row r="31" spans="2:17" ht="15">
      <c r="B31" s="87"/>
      <c r="C31" s="87"/>
      <c r="D31" s="87" t="s">
        <v>32</v>
      </c>
      <c r="H31" s="308">
        <v>0.15</v>
      </c>
      <c r="I31" s="309">
        <v>0.2</v>
      </c>
      <c r="J31" s="310">
        <v>0.25</v>
      </c>
      <c r="K31" s="3"/>
      <c r="L31" s="172">
        <f>+L30/L$10</f>
        <v>0.07434695427450595</v>
      </c>
      <c r="M31" s="338">
        <v>0.0744</v>
      </c>
      <c r="N31" s="290"/>
      <c r="O31" s="292" t="str">
        <f>IF(L31&gt;M31,"h","")</f>
        <v/>
      </c>
      <c r="P31" s="24"/>
      <c r="Q31" s="5" t="str">
        <f>IF($L31&gt;$J31,$J$8,IF($L31&gt;$I31,$I$8,IF($L31&gt;$H31,$H$8,"none")))</f>
        <v>none</v>
      </c>
    </row>
    <row r="32" spans="2:17" ht="15">
      <c r="B32" s="87"/>
      <c r="C32" s="87" t="s">
        <v>26</v>
      </c>
      <c r="D32" s="87"/>
      <c r="H32" s="311"/>
      <c r="I32" s="312"/>
      <c r="J32" s="313"/>
      <c r="K32" s="3"/>
      <c r="L32" s="381">
        <f>+'5 - Concentration'!D26</f>
        <v>9927.0</v>
      </c>
      <c r="M32" s="382">
        <v>8218.0</v>
      </c>
      <c r="N32" s="293"/>
      <c r="O32" s="292"/>
      <c r="P32" s="24"/>
      <c r="Q32" s="323"/>
    </row>
    <row r="33" spans="2:17" ht="15">
      <c r="B33" s="87"/>
      <c r="C33" s="87"/>
      <c r="D33" s="87" t="s">
        <v>31</v>
      </c>
      <c r="H33" s="308">
        <v>0.1</v>
      </c>
      <c r="I33" s="309">
        <v>0.15</v>
      </c>
      <c r="J33" s="310">
        <v>0.2</v>
      </c>
      <c r="K33" s="3"/>
      <c r="L33" s="172">
        <f>+L32/L$10</f>
        <v>0.013559474831582225</v>
      </c>
      <c r="M33" s="172">
        <f>+M32/M$10</f>
        <v>0.011377323435514194</v>
      </c>
      <c r="N33" s="290"/>
      <c r="O33" s="292" t="str">
        <f>IF(L33&gt;M33,"h","")</f>
        <v>h</v>
      </c>
      <c r="P33" s="24"/>
      <c r="Q33" s="5" t="str">
        <f>IF($L33&gt;$J33,$J$8,IF($L33&gt;$I33,$I$8,IF($L33&gt;$H33,$H$8,"none")))</f>
        <v>none</v>
      </c>
    </row>
    <row r="34" spans="2:17" ht="15">
      <c r="B34" s="87"/>
      <c r="C34" s="87" t="s">
        <v>27</v>
      </c>
      <c r="D34" s="87"/>
      <c r="H34" s="311"/>
      <c r="I34" s="312"/>
      <c r="J34" s="313"/>
      <c r="K34" s="3"/>
      <c r="L34" s="381">
        <f>+'5 - Concentration'!D25</f>
        <v>62965.0</v>
      </c>
      <c r="M34" s="382">
        <v>27102.0</v>
      </c>
      <c r="N34" s="293"/>
      <c r="O34" s="292"/>
      <c r="P34" s="24"/>
      <c r="Q34" s="323"/>
    </row>
    <row r="35" spans="2:17" ht="15">
      <c r="B35" s="87"/>
      <c r="C35" s="87"/>
      <c r="D35" s="87" t="s">
        <v>33</v>
      </c>
      <c r="H35" s="308">
        <v>0.1</v>
      </c>
      <c r="I35" s="309">
        <v>0.15</v>
      </c>
      <c r="J35" s="310">
        <v>0.2</v>
      </c>
      <c r="K35" s="3"/>
      <c r="L35" s="172">
        <f>+L34/L$10</f>
        <v>0.08600507029017576</v>
      </c>
      <c r="M35" s="172">
        <f>+M34/M$10</f>
        <v>0.03752107809069186</v>
      </c>
      <c r="N35" s="290"/>
      <c r="O35" s="292" t="str">
        <f>IF(L35&gt;M35,"h","")</f>
        <v>h</v>
      </c>
      <c r="P35" s="24"/>
      <c r="Q35" s="5" t="str">
        <f>IF($L35&gt;$J35,$J$8,IF($L35&gt;$I35,$I$8,IF($L35&gt;$H35,$H$8,"none")))</f>
        <v>none</v>
      </c>
    </row>
    <row r="36" spans="2:17" ht="15">
      <c r="B36" s="87"/>
      <c r="C36" s="87" t="s">
        <v>112</v>
      </c>
      <c r="D36" s="87"/>
      <c r="H36" s="311"/>
      <c r="I36" s="312"/>
      <c r="J36" s="313"/>
      <c r="K36" s="3"/>
      <c r="L36" s="381">
        <f>+'5 - Concentration'!D33</f>
        <v>127322.0</v>
      </c>
      <c r="M36" s="382">
        <v>89074.0</v>
      </c>
      <c r="N36" s="293"/>
      <c r="O36" s="292"/>
      <c r="P36" s="24"/>
      <c r="Q36" s="323"/>
    </row>
    <row r="37" spans="2:17" ht="15">
      <c r="B37" s="87"/>
      <c r="C37" s="87"/>
      <c r="D37" s="87" t="s">
        <v>114</v>
      </c>
      <c r="H37" s="308">
        <v>0.3</v>
      </c>
      <c r="I37" s="309">
        <v>0.35</v>
      </c>
      <c r="J37" s="310">
        <v>0.4</v>
      </c>
      <c r="K37" s="3"/>
      <c r="L37" s="172">
        <f>+L36/L$10</f>
        <v>0.17391149939626394</v>
      </c>
      <c r="M37" s="172">
        <f>+M36/M$10</f>
        <v>0.12331755995315057</v>
      </c>
      <c r="N37" s="290"/>
      <c r="O37" s="292" t="str">
        <f>IF(L37&gt;M37,"h","")</f>
        <v>h</v>
      </c>
      <c r="P37" s="24"/>
      <c r="Q37" s="5" t="str">
        <f>IF($L37&gt;$J37,$J$8,IF($L37&gt;$I37,$I$8,IF($L37&gt;$H37,$H$8,"none")))</f>
        <v>none</v>
      </c>
    </row>
    <row r="38" spans="2:17" ht="15">
      <c r="B38" s="87"/>
      <c r="C38" s="87"/>
      <c r="D38" s="87"/>
      <c r="H38" s="314"/>
      <c r="I38" s="315"/>
      <c r="J38" s="316"/>
      <c r="K38" s="3"/>
      <c r="L38" s="294"/>
      <c r="M38" s="337"/>
      <c r="N38" s="290"/>
      <c r="O38" s="332"/>
      <c r="P38" s="12"/>
      <c r="Q38" s="323"/>
    </row>
    <row r="39" spans="2:17" ht="15">
      <c r="B39" s="23" t="s">
        <v>117</v>
      </c>
      <c r="C39" s="87"/>
      <c r="D39" s="87"/>
      <c r="H39" s="311"/>
      <c r="I39" s="312"/>
      <c r="J39" s="313"/>
      <c r="K39" s="3"/>
      <c r="L39" s="291"/>
      <c r="M39" s="336"/>
      <c r="N39" s="290"/>
      <c r="O39" s="292"/>
      <c r="P39" s="24"/>
      <c r="Q39" s="324"/>
    </row>
    <row r="40" spans="2:17" ht="15">
      <c r="B40" s="87"/>
      <c r="C40" s="87" t="s">
        <v>115</v>
      </c>
      <c r="D40" s="87"/>
      <c r="H40" s="308">
        <v>0.2</v>
      </c>
      <c r="I40" s="309">
        <v>0.15</v>
      </c>
      <c r="J40" s="310">
        <v>0.1</v>
      </c>
      <c r="K40" s="3"/>
      <c r="L40" s="172">
        <f>MIN(' 2 - Sources &amp; Uses'!F55:H55)</f>
        <v>0.061093771496551104</v>
      </c>
      <c r="M40" s="338">
        <v>0.1824</v>
      </c>
      <c r="N40" s="290"/>
      <c r="O40" s="292" t="str">
        <f t="shared" si="0" ref="O40:O43">IF(L40&lt;M40,"h","")</f>
        <v>h</v>
      </c>
      <c r="P40" s="24"/>
      <c r="Q40" s="5" t="str">
        <f t="shared" si="1" ref="Q40:Q43">IF($L40&lt;$J40,$J$8,IF($L40&lt;$I40,$I$8,IF($L40&lt;$H40,$H$8,"none")))</f>
        <v>Level 3</v>
      </c>
    </row>
    <row r="41" spans="2:17" ht="15">
      <c r="B41" s="87"/>
      <c r="C41" s="87" t="s">
        <v>116</v>
      </c>
      <c r="D41" s="87"/>
      <c r="H41" s="308">
        <v>0.3</v>
      </c>
      <c r="I41" s="309">
        <v>0.25</v>
      </c>
      <c r="J41" s="310">
        <v>0.2</v>
      </c>
      <c r="K41" s="3"/>
      <c r="L41" s="172">
        <f>MIN(' 2 - Sources &amp; Uses'!F65:H65)</f>
        <v>0.47130532547127185</v>
      </c>
      <c r="M41" s="338">
        <v>0.5018</v>
      </c>
      <c r="N41" s="290"/>
      <c r="O41" s="292" t="str">
        <f t="shared" si="0"/>
        <v>h</v>
      </c>
      <c r="P41" s="24"/>
      <c r="Q41" s="5" t="str">
        <f t="shared" si="1"/>
        <v>none</v>
      </c>
    </row>
    <row r="42" spans="2:17" ht="15">
      <c r="B42" s="87"/>
      <c r="C42" s="87" t="s">
        <v>118</v>
      </c>
      <c r="D42" s="87"/>
      <c r="H42" s="308">
        <v>0.2</v>
      </c>
      <c r="I42" s="309">
        <v>0.15</v>
      </c>
      <c r="J42" s="310">
        <v>0.1</v>
      </c>
      <c r="K42" s="3"/>
      <c r="L42" s="172">
        <f>MIN(' 2 - Sources &amp; Uses'!F55:I55)</f>
        <v>0.05110546626420781</v>
      </c>
      <c r="M42" s="338">
        <v>0.1824</v>
      </c>
      <c r="N42" s="290"/>
      <c r="O42" s="292" t="str">
        <f t="shared" si="0"/>
        <v>h</v>
      </c>
      <c r="P42" s="24"/>
      <c r="Q42" s="5" t="str">
        <f t="shared" si="1"/>
        <v>Level 3</v>
      </c>
    </row>
    <row r="43" spans="2:17" ht="15">
      <c r="B43" s="87"/>
      <c r="C43" s="87" t="s">
        <v>119</v>
      </c>
      <c r="D43" s="87"/>
      <c r="H43" s="308">
        <v>0.3</v>
      </c>
      <c r="I43" s="309">
        <v>0.25</v>
      </c>
      <c r="J43" s="310">
        <v>0.2</v>
      </c>
      <c r="K43" s="3"/>
      <c r="L43" s="172">
        <f>MIN(' 2 - Sources &amp; Uses'!F65:I65)</f>
        <v>0.46166227145122335</v>
      </c>
      <c r="M43" s="338">
        <v>0.499</v>
      </c>
      <c r="N43" s="290"/>
      <c r="O43" s="292" t="str">
        <f t="shared" si="0"/>
        <v>h</v>
      </c>
      <c r="P43" s="24"/>
      <c r="Q43" s="5" t="str">
        <f t="shared" si="1"/>
        <v>none</v>
      </c>
    </row>
    <row r="44" spans="8:17" ht="15">
      <c r="H44" s="314"/>
      <c r="I44" s="315"/>
      <c r="J44" s="316"/>
      <c r="K44" s="3"/>
      <c r="L44" s="294"/>
      <c r="M44" s="337"/>
      <c r="N44" s="290"/>
      <c r="O44" s="332"/>
      <c r="P44" s="12"/>
      <c r="Q44" s="323"/>
    </row>
    <row r="45" spans="8:17" ht="15">
      <c r="H45" s="314"/>
      <c r="I45" s="315"/>
      <c r="J45" s="316"/>
      <c r="K45" s="3"/>
      <c r="L45" s="295"/>
      <c r="M45" s="337"/>
      <c r="N45" s="290"/>
      <c r="O45" s="292" t="str">
        <f t="shared" si="2" ref="O45:O55">IF(L45&gt;M45,"h","")</f>
        <v/>
      </c>
      <c r="P45" s="24"/>
      <c r="Q45" s="323"/>
    </row>
    <row r="46" spans="2:17" ht="18.75">
      <c r="B46" s="111" t="s">
        <v>4</v>
      </c>
      <c r="H46" s="314"/>
      <c r="I46" s="315"/>
      <c r="J46" s="316"/>
      <c r="K46" s="3"/>
      <c r="L46" s="295"/>
      <c r="M46" s="337"/>
      <c r="N46" s="290"/>
      <c r="O46" s="292" t="str">
        <f t="shared" si="2"/>
        <v/>
      </c>
      <c r="P46" s="24"/>
      <c r="Q46" s="323"/>
    </row>
    <row r="47" spans="2:20" s="3" customFormat="1" ht="15">
      <c r="B47" s="23" t="s">
        <v>284</v>
      </c>
      <c r="C47" s="87"/>
      <c r="D47" s="87"/>
      <c r="G47" s="16"/>
      <c r="H47" s="314"/>
      <c r="I47" s="315"/>
      <c r="J47" s="316"/>
      <c r="L47" s="295"/>
      <c r="M47" s="337"/>
      <c r="N47" s="290"/>
      <c r="O47" s="292" t="str">
        <f t="shared" si="2"/>
        <v/>
      </c>
      <c r="P47" s="24"/>
      <c r="Q47" s="324"/>
      <c r="T47" s="2"/>
    </row>
    <row r="48" spans="2:20" s="8" customFormat="1" ht="15">
      <c r="B48" s="23"/>
      <c r="C48" s="87" t="s">
        <v>285</v>
      </c>
      <c r="D48" s="23"/>
      <c r="G48" s="17"/>
      <c r="H48" s="311"/>
      <c r="I48" s="312"/>
      <c r="J48" s="313"/>
      <c r="K48" s="3"/>
      <c r="L48" s="296"/>
      <c r="M48" s="336"/>
      <c r="N48" s="293"/>
      <c r="O48" s="292"/>
      <c r="P48" s="24"/>
      <c r="Q48" s="323"/>
      <c r="R48" s="2"/>
      <c r="T48" s="2"/>
    </row>
    <row r="49" spans="2:17" ht="15">
      <c r="B49" s="87"/>
      <c r="C49" s="87"/>
      <c r="D49" s="87" t="s">
        <v>2</v>
      </c>
      <c r="H49" s="308">
        <v>0.09</v>
      </c>
      <c r="I49" s="309">
        <v>0.08</v>
      </c>
      <c r="J49" s="310">
        <v>0.07</v>
      </c>
      <c r="K49" s="3"/>
      <c r="L49" s="212">
        <v>0.1154</v>
      </c>
      <c r="M49" s="339">
        <v>0.1155</v>
      </c>
      <c r="N49" s="293"/>
      <c r="O49" s="292" t="str">
        <f>IF(L49&lt;M49,"h","")</f>
        <v>h</v>
      </c>
      <c r="P49" s="24"/>
      <c r="Q49" s="5" t="str">
        <f>IF($L49&lt;$J49,$J$8,IF($L49&lt;$I49,$I$8,IF($L49&lt;$H49,$H$8,"none")))</f>
        <v>none</v>
      </c>
    </row>
    <row r="50" spans="2:17" ht="15">
      <c r="B50" s="87"/>
      <c r="C50" s="87"/>
      <c r="D50" s="87"/>
      <c r="E50" s="3" t="s">
        <v>23</v>
      </c>
      <c r="H50" s="308">
        <v>0.06</v>
      </c>
      <c r="I50" s="309">
        <v>0.05</v>
      </c>
      <c r="J50" s="310">
        <v>0.04</v>
      </c>
      <c r="K50" s="3"/>
      <c r="L50" s="212">
        <v>0.1026</v>
      </c>
      <c r="M50" s="339">
        <v>0.1044</v>
      </c>
      <c r="N50" s="293"/>
      <c r="O50" s="292" t="str">
        <f>IF(L50&lt;M50,"h","")</f>
        <v>h</v>
      </c>
      <c r="P50" s="24"/>
      <c r="Q50" s="5" t="str">
        <f>IF($L50&lt;$J50,$J$8,IF($L50&lt;$I50,$I$8,IF($L50&lt;$H50,$H$8,"none")))</f>
        <v>none</v>
      </c>
    </row>
    <row r="51" spans="2:17" ht="15">
      <c r="B51" s="87"/>
      <c r="C51" s="87"/>
      <c r="D51" s="87" t="s">
        <v>22</v>
      </c>
      <c r="H51" s="308">
        <v>0.09</v>
      </c>
      <c r="I51" s="309">
        <v>0.08</v>
      </c>
      <c r="J51" s="310">
        <v>0.07</v>
      </c>
      <c r="K51" s="3"/>
      <c r="L51" s="212">
        <v>0.1133</v>
      </c>
      <c r="M51" s="339">
        <v>0.1129</v>
      </c>
      <c r="N51" s="293"/>
      <c r="O51" s="292" t="str">
        <f>IF(L51&lt;M51,"h","")</f>
        <v/>
      </c>
      <c r="P51" s="24"/>
      <c r="Q51" s="5" t="str">
        <f>IF($L51&lt;$J51,$J$8,IF($L51&lt;$I51,$I$8,IF($L51&lt;$H51,$H$8,"none")))</f>
        <v>none</v>
      </c>
    </row>
    <row r="52" spans="2:17" ht="15">
      <c r="B52" s="87"/>
      <c r="C52" s="87"/>
      <c r="D52" s="87" t="s">
        <v>3</v>
      </c>
      <c r="H52" s="308">
        <v>0.12</v>
      </c>
      <c r="I52" s="309">
        <v>0.11</v>
      </c>
      <c r="J52" s="310">
        <v>0.1</v>
      </c>
      <c r="K52" s="3"/>
      <c r="L52" s="212">
        <v>0.1334</v>
      </c>
      <c r="M52" s="339">
        <v>0.1334</v>
      </c>
      <c r="N52" s="293"/>
      <c r="O52" s="292" t="str">
        <f>IF(L52&lt;M52,"h","")</f>
        <v/>
      </c>
      <c r="P52" s="24"/>
      <c r="Q52" s="5" t="str">
        <f>IF($L52&lt;$J52,$J$8,IF($L52&lt;$I52,$I$8,IF($L52&lt;$H52,$H$8,"none")))</f>
        <v>none</v>
      </c>
    </row>
    <row r="53" spans="2:17" ht="15">
      <c r="B53" s="87"/>
      <c r="C53" s="87" t="s">
        <v>5</v>
      </c>
      <c r="D53" s="87"/>
      <c r="H53" s="308">
        <v>0.02</v>
      </c>
      <c r="I53" s="309">
        <v>0.05</v>
      </c>
      <c r="J53" s="310">
        <v>0.08</v>
      </c>
      <c r="K53" s="3"/>
      <c r="L53" s="212">
        <v>0.0094</v>
      </c>
      <c r="M53" s="339">
        <v>0.0091</v>
      </c>
      <c r="N53" s="293"/>
      <c r="O53" s="292" t="str">
        <f>IF(L53&gt;M53,"h","")</f>
        <v>h</v>
      </c>
      <c r="P53" s="24"/>
      <c r="Q53" s="5" t="str">
        <f>IF($L53&gt;$J53,$J$8,IF($L53&gt;$I53,$I$8,IF($L53&gt;$H53,$H$8,"none")))</f>
        <v>none</v>
      </c>
    </row>
    <row r="54" spans="2:17" ht="15">
      <c r="B54" s="87"/>
      <c r="C54" s="87" t="s">
        <v>6</v>
      </c>
      <c r="D54" s="87"/>
      <c r="H54" s="317">
        <v>0.25</v>
      </c>
      <c r="I54" s="318">
        <v>0.5</v>
      </c>
      <c r="J54" s="319">
        <v>0.75</v>
      </c>
      <c r="K54" s="3"/>
      <c r="L54" s="212">
        <v>0.0629</v>
      </c>
      <c r="M54" s="339">
        <v>0.0605</v>
      </c>
      <c r="N54" s="293"/>
      <c r="O54" s="292" t="str">
        <f>IF(L54&gt;M54,"h","")</f>
        <v>h</v>
      </c>
      <c r="P54" s="24"/>
      <c r="Q54" s="5" t="str">
        <f>IF($L54&gt;$J54,$J$8,IF($L54&gt;$I54,$I$8,IF($L54&gt;$H54,$H$8,"none")))</f>
        <v>none</v>
      </c>
    </row>
    <row r="55" spans="2:26" s="3" customFormat="1" ht="15">
      <c r="B55" s="23" t="s">
        <v>15</v>
      </c>
      <c r="C55" s="87"/>
      <c r="D55" s="87"/>
      <c r="G55" s="16"/>
      <c r="H55" s="314"/>
      <c r="I55" s="315"/>
      <c r="J55" s="316"/>
      <c r="L55" s="297"/>
      <c r="M55" s="337"/>
      <c r="N55" s="290"/>
      <c r="O55" s="292" t="str">
        <f t="shared" si="2"/>
        <v/>
      </c>
      <c r="P55" s="24"/>
      <c r="Q55" s="324"/>
      <c r="T55" s="2"/>
      <c r="Z55" s="2"/>
    </row>
    <row r="56" spans="2:17" ht="15">
      <c r="B56" s="87"/>
      <c r="C56" s="87" t="s">
        <v>7</v>
      </c>
      <c r="D56" s="87"/>
      <c r="H56" s="308">
        <v>0.9</v>
      </c>
      <c r="I56" s="309">
        <v>1.0</v>
      </c>
      <c r="J56" s="310">
        <v>1.2</v>
      </c>
      <c r="K56" s="3"/>
      <c r="L56" s="339">
        <f>'5 - Concentration'!D53</f>
        <v>0.9340311223517413</v>
      </c>
      <c r="M56" s="339">
        <v>0.9322</v>
      </c>
      <c r="N56" s="293"/>
      <c r="O56" s="292" t="str">
        <f t="shared" si="3" ref="O56:O60">IF(L56&gt;M56,"h","")</f>
        <v>h</v>
      </c>
      <c r="P56" s="24"/>
      <c r="Q56" s="5" t="str">
        <f>IF($L56&gt;$J56,$J$8,IF($L56&gt;$I56,$I$8,IF($L56&gt;$H56,$H$8,"none")))</f>
        <v>Level 1</v>
      </c>
    </row>
    <row r="57" spans="2:17" ht="15">
      <c r="B57" s="87"/>
      <c r="C57" s="87" t="s">
        <v>8</v>
      </c>
      <c r="D57" s="87"/>
      <c r="H57" s="308">
        <v>0.05</v>
      </c>
      <c r="I57" s="312"/>
      <c r="J57" s="313"/>
      <c r="K57" s="3"/>
      <c r="L57" s="339">
        <f>+L56-M56</f>
        <v>0.001831122351741321</v>
      </c>
      <c r="M57" s="339">
        <v>0.0259</v>
      </c>
      <c r="N57" s="293"/>
      <c r="O57" s="292" t="str">
        <f>IF(L57&gt;0,"h","")</f>
        <v>h</v>
      </c>
      <c r="P57" s="24"/>
      <c r="Q57" s="5" t="str">
        <f>IF($L57&gt;$H57,$H$8,"none")</f>
        <v>none</v>
      </c>
    </row>
    <row r="58" spans="2:17" ht="15">
      <c r="B58" s="87"/>
      <c r="C58" s="87" t="s">
        <v>16</v>
      </c>
      <c r="D58" s="87"/>
      <c r="H58" s="308">
        <v>-0.05</v>
      </c>
      <c r="I58" s="312"/>
      <c r="J58" s="313"/>
      <c r="K58" s="3"/>
      <c r="L58" s="212">
        <v>0.0204</v>
      </c>
      <c r="M58" s="339">
        <v>0.0308</v>
      </c>
      <c r="N58" s="293"/>
      <c r="O58" s="292" t="str">
        <f>IF(L58&lt;0,"h","")</f>
        <v/>
      </c>
      <c r="P58" s="24"/>
      <c r="Q58" s="5" t="str">
        <f>IF($L58&lt;$H58,$H$8,"none")</f>
        <v>none</v>
      </c>
    </row>
    <row r="59" spans="2:17" ht="15">
      <c r="B59" s="87"/>
      <c r="C59" s="87" t="s">
        <v>9</v>
      </c>
      <c r="D59" s="87"/>
      <c r="H59" s="308">
        <v>0.9</v>
      </c>
      <c r="I59" s="309">
        <v>1.0</v>
      </c>
      <c r="J59" s="310">
        <v>1.2</v>
      </c>
      <c r="K59" s="3"/>
      <c r="L59" s="339">
        <f>'5 - Concentration'!J53</f>
        <v>0.9434208006761441</v>
      </c>
      <c r="M59" s="339">
        <v>0.9419</v>
      </c>
      <c r="N59" s="293"/>
      <c r="O59" s="292" t="str">
        <f t="shared" si="3"/>
        <v>h</v>
      </c>
      <c r="P59" s="24"/>
      <c r="Q59" s="5" t="str">
        <f>IF($L59&gt;$J59,$J$8,IF($L59&gt;$I59,$I$8,IF($L59&gt;$H59,$H$8,"none")))</f>
        <v>Level 1</v>
      </c>
    </row>
    <row r="60" spans="2:26" s="3" customFormat="1" ht="15">
      <c r="B60" s="23" t="s">
        <v>19</v>
      </c>
      <c r="C60" s="87"/>
      <c r="D60" s="87"/>
      <c r="G60" s="16"/>
      <c r="H60" s="314"/>
      <c r="I60" s="315"/>
      <c r="J60" s="316"/>
      <c r="L60" s="297"/>
      <c r="M60" s="337"/>
      <c r="N60" s="290"/>
      <c r="O60" s="292" t="str">
        <f t="shared" si="3"/>
        <v/>
      </c>
      <c r="P60" s="24"/>
      <c r="Q60" s="325"/>
      <c r="Z60" s="2"/>
    </row>
    <row r="61" spans="2:17" ht="15">
      <c r="B61" s="87"/>
      <c r="C61" s="87" t="s">
        <v>43</v>
      </c>
      <c r="D61" s="87"/>
      <c r="H61" s="342" t="s">
        <v>20</v>
      </c>
      <c r="I61" s="315"/>
      <c r="J61" s="316"/>
      <c r="K61" s="3"/>
      <c r="L61" s="213" t="s">
        <v>14</v>
      </c>
      <c r="M61" s="340" t="s">
        <v>14</v>
      </c>
      <c r="N61" s="290"/>
      <c r="O61" s="292" t="str">
        <f>IF(L61=H61,"h","")</f>
        <v/>
      </c>
      <c r="P61" s="24"/>
      <c r="Q61" s="5" t="str">
        <f>IF($L61=H61,$H$8,"none")</f>
        <v>none</v>
      </c>
    </row>
    <row r="62" spans="2:17" ht="15">
      <c r="B62" s="87"/>
      <c r="C62" s="87" t="s">
        <v>17</v>
      </c>
      <c r="D62" s="87"/>
      <c r="H62" s="342" t="s">
        <v>14</v>
      </c>
      <c r="I62" s="315"/>
      <c r="J62" s="316"/>
      <c r="K62" s="3"/>
      <c r="L62" s="213" t="s">
        <v>20</v>
      </c>
      <c r="M62" s="340" t="s">
        <v>20</v>
      </c>
      <c r="N62" s="290"/>
      <c r="O62" s="292" t="str">
        <f>IF(L62=H62,"h","")</f>
        <v/>
      </c>
      <c r="P62" s="24"/>
      <c r="Q62" s="5" t="str">
        <f>IF($L62=H62,$H$8,"none")</f>
        <v>none</v>
      </c>
    </row>
    <row r="63" spans="2:17" ht="15">
      <c r="B63" s="87"/>
      <c r="C63" s="87" t="s">
        <v>18</v>
      </c>
      <c r="D63" s="87"/>
      <c r="H63" s="342" t="s">
        <v>14</v>
      </c>
      <c r="I63" s="315"/>
      <c r="J63" s="316"/>
      <c r="K63" s="3"/>
      <c r="L63" s="213" t="s">
        <v>20</v>
      </c>
      <c r="M63" s="340" t="s">
        <v>20</v>
      </c>
      <c r="N63" s="290"/>
      <c r="O63" s="292" t="str">
        <f>IF(L63=H63,"h","")</f>
        <v/>
      </c>
      <c r="P63" s="24"/>
      <c r="Q63" s="5" t="str">
        <f>IF($L63=H63,$H$8,"none")</f>
        <v>none</v>
      </c>
    </row>
    <row r="64" spans="8:17" ht="15">
      <c r="H64" s="320"/>
      <c r="I64" s="321"/>
      <c r="J64" s="322"/>
      <c r="K64" s="3"/>
      <c r="L64" s="298"/>
      <c r="M64" s="341"/>
      <c r="N64" s="299"/>
      <c r="O64" s="333"/>
      <c r="P64" s="24"/>
      <c r="Q64" s="326"/>
    </row>
    <row r="65" spans="8:17" ht="15">
      <c r="H65" s="3"/>
      <c r="I65" s="3"/>
      <c r="J65" s="3"/>
      <c r="K65" s="3"/>
      <c r="L65" s="16"/>
      <c r="M65" s="26"/>
      <c r="N65" s="9"/>
      <c r="O65" s="40"/>
      <c r="P65" s="24"/>
      <c r="Q65" s="13"/>
    </row>
    <row r="66" spans="2:2" ht="18.75">
      <c r="B66" s="111" t="s">
        <v>126</v>
      </c>
    </row>
    <row r="68" spans="2:6" ht="15">
      <c r="B68" s="504" t="s">
        <v>10</v>
      </c>
      <c r="C68" s="505"/>
      <c r="D68" s="505"/>
      <c r="E68" s="506"/>
      <c r="F68" s="3" t="s">
        <v>267</v>
      </c>
    </row>
    <row r="69" spans="2:6" ht="15">
      <c r="B69" s="503" t="s">
        <v>37</v>
      </c>
      <c r="C69" s="503"/>
      <c r="D69" s="503"/>
      <c r="E69" s="503"/>
      <c r="F69" s="3" t="s">
        <v>34</v>
      </c>
    </row>
    <row r="71" spans="2:6" ht="15">
      <c r="B71" s="504" t="s">
        <v>11</v>
      </c>
      <c r="C71" s="505"/>
      <c r="D71" s="505"/>
      <c r="E71" s="506"/>
      <c r="F71" s="3" t="s">
        <v>293</v>
      </c>
    </row>
    <row r="72" spans="2:5" ht="15">
      <c r="B72" s="503" t="s">
        <v>38</v>
      </c>
      <c r="C72" s="503"/>
      <c r="D72" s="503"/>
      <c r="E72" s="503"/>
    </row>
    <row r="74" spans="2:6" ht="15">
      <c r="B74" s="507" t="s">
        <v>12</v>
      </c>
      <c r="C74" s="507"/>
      <c r="D74" s="507"/>
      <c r="E74" s="507"/>
      <c r="F74" s="3" t="s">
        <v>36</v>
      </c>
    </row>
    <row r="75" spans="2:6" ht="15">
      <c r="B75" s="503" t="s">
        <v>39</v>
      </c>
      <c r="C75" s="503"/>
      <c r="D75" s="503"/>
      <c r="E75" s="503"/>
      <c r="F75" s="3" t="s">
        <v>35</v>
      </c>
    </row>
    <row r="76" spans="3:19" ht="15">
      <c r="C76" s="3" t="s">
        <v>40</v>
      </c>
      <c r="D76" s="3" t="s">
        <v>41</v>
      </c>
      <c r="F76" s="3"/>
      <c r="G76" s="3"/>
      <c r="H76" s="3"/>
      <c r="I76" s="3"/>
      <c r="J76" s="3"/>
      <c r="K76" s="3"/>
      <c r="L76" s="3"/>
      <c r="M76" s="3"/>
      <c r="N76" s="3"/>
      <c r="O76" s="3"/>
      <c r="P76" s="3"/>
      <c r="Q76" s="3"/>
      <c r="R76" s="3"/>
      <c r="S76" s="3"/>
    </row>
    <row r="77" spans="4:19" ht="15">
      <c r="D77" s="3" t="s">
        <v>42</v>
      </c>
      <c r="F77" s="3"/>
      <c r="G77" s="3"/>
      <c r="H77" s="3"/>
      <c r="I77" s="3"/>
      <c r="J77" s="3"/>
      <c r="K77" s="3"/>
      <c r="L77" s="3"/>
      <c r="M77" s="3"/>
      <c r="N77" s="3"/>
      <c r="O77" s="3"/>
      <c r="P77" s="3"/>
      <c r="Q77" s="3"/>
      <c r="R77" s="3"/>
      <c r="S77" s="3"/>
    </row>
    <row r="80" spans="2:18" ht="53.25" customHeight="1" thickBot="1">
      <c r="B80" s="502" t="s">
        <v>21</v>
      </c>
      <c r="C80" s="502"/>
      <c r="D80" s="502"/>
      <c r="E80" s="502"/>
      <c r="F80" s="502"/>
      <c r="G80" s="502"/>
      <c r="H80" s="502"/>
      <c r="I80" s="502"/>
      <c r="J80" s="502"/>
      <c r="K80" s="502"/>
      <c r="L80" s="502"/>
      <c r="M80" s="502"/>
      <c r="N80" s="502"/>
      <c r="O80" s="502"/>
      <c r="P80" s="502"/>
      <c r="Q80" s="502"/>
      <c r="R80" s="502"/>
    </row>
  </sheetData>
  <mergeCells count="15">
    <mergeCell ref="H7:J7"/>
    <mergeCell ref="L7:O7"/>
    <mergeCell ref="H5:I5"/>
    <mergeCell ref="B1:R1"/>
    <mergeCell ref="B2:R2"/>
    <mergeCell ref="B3:R3"/>
    <mergeCell ref="M5:N5"/>
    <mergeCell ref="O5:P5"/>
    <mergeCell ref="B80:R80"/>
    <mergeCell ref="B75:E75"/>
    <mergeCell ref="B68:E68"/>
    <mergeCell ref="B71:E71"/>
    <mergeCell ref="B74:E74"/>
    <mergeCell ref="B69:E69"/>
    <mergeCell ref="B72:E72"/>
  </mergeCells>
  <conditionalFormatting sqref="B71:E71 B74 I8:J9">
    <cfRule type="cellIs" priority="157" dxfId="8" operator="equal">
      <formula>$J$8</formula>
    </cfRule>
  </conditionalFormatting>
  <conditionalFormatting sqref="B68:E68 B71:E71 B74 Q61:Q65 Q49:Q54 Q39:Q43 Q16:Q18 Q20:Q24 Q14 H8:J9 Q29:Q37 Q56:Q59">
    <cfRule type="cellIs" priority="112" dxfId="9" operator="equal">
      <formula>"Yes"</formula>
    </cfRule>
  </conditionalFormatting>
  <conditionalFormatting sqref="B71:E71 B74 Q61:Q65 Q49:Q54 Q39:Q43 Q16:Q18 Q20:Q24 Q14 I8:J9 Q29:Q37 Q56:Q59">
    <cfRule type="cellIs" priority="103" dxfId="8" operator="equal">
      <formula>$J$8</formula>
    </cfRule>
    <cfRule type="cellIs" priority="104" dxfId="7" operator="equal">
      <formula>$I$8</formula>
    </cfRule>
    <cfRule type="cellIs" priority="109" dxfId="0" operator="equal">
      <formula>$H$8</formula>
    </cfRule>
  </conditionalFormatting>
  <conditionalFormatting sqref="B68:E68 B71:E71 H8:H9">
    <cfRule type="cellIs" priority="105" dxfId="0" operator="equal">
      <formula>$H$8</formula>
    </cfRule>
    <cfRule type="cellIs" priority="106" dxfId="19" operator="equal">
      <formula>$H$8</formula>
    </cfRule>
  </conditionalFormatting>
  <conditionalFormatting sqref="J32:K32">
    <cfRule type="expression" priority="17" dxfId="18">
      <formula>"Level 1"</formula>
    </cfRule>
  </conditionalFormatting>
  <conditionalFormatting sqref="Q25:Q26">
    <cfRule type="cellIs" priority="16" dxfId="9" operator="equal">
      <formula>"Yes"</formula>
    </cfRule>
  </conditionalFormatting>
  <conditionalFormatting sqref="Q25:Q26">
    <cfRule type="cellIs" priority="13" dxfId="8" operator="equal">
      <formula>$J$8</formula>
    </cfRule>
    <cfRule type="cellIs" priority="14" dxfId="7" operator="equal">
      <formula>$I$8</formula>
    </cfRule>
    <cfRule type="cellIs" priority="15" dxfId="0" operator="equal">
      <formula>$H$8</formula>
    </cfRule>
  </conditionalFormatting>
  <conditionalFormatting sqref="Q27:Q28">
    <cfRule type="cellIs" priority="12" dxfId="9" operator="equal">
      <formula>"Yes"</formula>
    </cfRule>
  </conditionalFormatting>
  <conditionalFormatting sqref="Q27:Q28">
    <cfRule type="cellIs" priority="9" dxfId="8" operator="equal">
      <formula>$J$8</formula>
    </cfRule>
    <cfRule type="cellIs" priority="10" dxfId="7" operator="equal">
      <formula>$I$8</formula>
    </cfRule>
    <cfRule type="cellIs" priority="11" dxfId="0" operator="equal">
      <formula>$H$8</formula>
    </cfRule>
  </conditionalFormatting>
  <conditionalFormatting sqref="Q12">
    <cfRule type="cellIs" priority="4" dxfId="9" operator="equal">
      <formula>"Yes"</formula>
    </cfRule>
  </conditionalFormatting>
  <conditionalFormatting sqref="Q12">
    <cfRule type="cellIs" priority="1" dxfId="8" operator="equal">
      <formula>$J$8</formula>
    </cfRule>
    <cfRule type="cellIs" priority="2" dxfId="7" operator="equal">
      <formula>$I$8</formula>
    </cfRule>
    <cfRule type="cellIs" priority="3" dxfId="0" operator="equal">
      <formula>$H$8</formula>
    </cfRule>
  </conditionalFormatting>
  <printOptions horizontalCentered="1"/>
  <pageMargins left="0.75" right="0.5" top="0.5" bottom="0.25" header="0.3" footer="0.3"/>
  <pageSetup orientation="portrait" scale="63" r:id="rId2"/>
  <ignoredErrors>
    <ignoredError sqref="L32 L34 L36" formula="1"/>
  </ignoredErrors>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mc:Ignorable="x14ac" xr:uid="{6f87d8f6-e6f4-4588-bb86-365c7c9574e6}">
  <sheetPr codeName="Sheet3">
    <tabColor rgb="FF00CC66"/>
    <pageSetUpPr fitToPage="1"/>
  </sheetPr>
  <dimension ref="B1:O48"/>
  <sheetViews>
    <sheetView zoomScale="85" zoomScaleNormal="85" workbookViewId="0" topLeftCell="A1">
      <selection pane="topLeft" activeCell="B1" sqref="B1:L1"/>
    </sheetView>
  </sheetViews>
  <sheetFormatPr defaultRowHeight="15"/>
  <cols>
    <col min="1" max="1" width="15.625" customWidth="1"/>
    <col min="2" max="2" width="4.125" style="23" customWidth="1"/>
    <col min="3" max="3" width="4.375" style="23" customWidth="1"/>
    <col min="4" max="4" width="34.125" customWidth="1"/>
    <col min="5" max="5" width="11" style="154" customWidth="1"/>
    <col min="6" max="6" width="8.125" style="42" customWidth="1"/>
    <col min="7" max="7" width="9.25" style="42" customWidth="1"/>
    <col min="8" max="8" width="5.875" style="158" customWidth="1"/>
    <col min="9" max="9" width="8.75" style="154" customWidth="1"/>
    <col min="10" max="10" width="12.375" style="154" customWidth="1"/>
    <col min="11" max="11" width="9.375" style="154" customWidth="1"/>
    <col min="12" max="12" width="9.875" style="43" customWidth="1"/>
  </cols>
  <sheetData>
    <row r="1" spans="2:12" ht="21">
      <c r="B1" s="512" t="str">
        <f>Description!B4</f>
        <v>Sample Bank</v>
      </c>
      <c r="C1" s="513"/>
      <c r="D1" s="513"/>
      <c r="E1" s="513"/>
      <c r="F1" s="513"/>
      <c r="G1" s="513"/>
      <c r="H1" s="513"/>
      <c r="I1" s="513"/>
      <c r="J1" s="513"/>
      <c r="K1" s="513"/>
      <c r="L1" s="514"/>
    </row>
    <row r="2" spans="2:12" ht="21">
      <c r="B2" s="515" t="s">
        <v>138</v>
      </c>
      <c r="C2" s="516"/>
      <c r="D2" s="516"/>
      <c r="E2" s="516"/>
      <c r="F2" s="516"/>
      <c r="G2" s="516"/>
      <c r="H2" s="516"/>
      <c r="I2" s="516"/>
      <c r="J2" s="516"/>
      <c r="K2" s="516"/>
      <c r="L2" s="517"/>
    </row>
    <row r="3" spans="2:12" ht="16.5" thickBot="1">
      <c r="B3" s="518">
        <f>Description!B2</f>
        <v>43830.0</v>
      </c>
      <c r="C3" s="519"/>
      <c r="D3" s="519"/>
      <c r="E3" s="519"/>
      <c r="F3" s="519"/>
      <c r="G3" s="519"/>
      <c r="H3" s="519"/>
      <c r="I3" s="519"/>
      <c r="J3" s="519"/>
      <c r="K3" s="519"/>
      <c r="L3" s="520"/>
    </row>
    <row r="4" ht="15" customHeight="1"/>
    <row r="5" spans="2:2" ht="15" customHeight="1">
      <c r="B5" s="38"/>
    </row>
    <row r="6" spans="2:12" ht="16.5" customHeight="1">
      <c r="B6" s="228"/>
      <c r="C6" s="229" t="s">
        <v>146</v>
      </c>
      <c r="D6" s="230" t="s">
        <v>165</v>
      </c>
      <c r="K6" s="254" t="s">
        <v>107</v>
      </c>
      <c r="L6" s="154">
        <f>'5 - Concentration'!D42</f>
        <v>732108.0</v>
      </c>
    </row>
    <row r="7" spans="2:14" s="36" customFormat="1" ht="30.75" customHeight="1">
      <c r="B7" s="35"/>
      <c r="C7" s="35"/>
      <c r="E7" s="153" t="s">
        <v>97</v>
      </c>
      <c r="F7" s="41" t="s">
        <v>98</v>
      </c>
      <c r="G7" s="446" t="s">
        <v>99</v>
      </c>
      <c r="H7" s="447" t="s">
        <v>100</v>
      </c>
      <c r="I7" s="426" t="s">
        <v>292</v>
      </c>
      <c r="J7" s="427" t="s">
        <v>90</v>
      </c>
      <c r="K7" s="427" t="s">
        <v>91</v>
      </c>
      <c r="L7" s="428" t="s">
        <v>106</v>
      </c>
      <c r="N7" s="37">
        <v>0.0</v>
      </c>
    </row>
    <row r="8" spans="2:12" s="36" customFormat="1" ht="12" customHeight="1">
      <c r="B8" s="35"/>
      <c r="C8" s="35"/>
      <c r="E8" s="153"/>
      <c r="F8" s="41"/>
      <c r="G8" s="192"/>
      <c r="H8" s="193"/>
      <c r="I8" s="154"/>
      <c r="J8" s="153"/>
      <c r="K8" s="153"/>
      <c r="L8" s="44"/>
    </row>
    <row r="9" spans="2:8" ht="18.75">
      <c r="B9" s="30" t="s">
        <v>85</v>
      </c>
      <c r="G9" s="194"/>
      <c r="H9" s="195"/>
    </row>
    <row r="10" spans="7:8" ht="15">
      <c r="G10" s="194"/>
      <c r="H10" s="195"/>
    </row>
    <row r="11" spans="3:12" ht="15">
      <c r="C11" s="23" t="s">
        <v>86</v>
      </c>
      <c r="E11" s="157"/>
      <c r="F11" s="52"/>
      <c r="G11" s="196"/>
      <c r="H11" s="195"/>
      <c r="I11" s="214">
        <v>12000.0</v>
      </c>
      <c r="J11" s="214">
        <v>0.0</v>
      </c>
      <c r="K11" s="154">
        <f>+I11-J11</f>
        <v>12000.0</v>
      </c>
      <c r="L11" s="43">
        <f>+K11/I11</f>
        <v>1.0</v>
      </c>
    </row>
    <row r="12" spans="4:10" ht="15">
      <c r="D12" t="s">
        <v>88</v>
      </c>
      <c r="E12" s="157"/>
      <c r="F12" s="52"/>
      <c r="G12" s="196"/>
      <c r="H12" s="195"/>
      <c r="I12" s="185"/>
      <c r="J12" s="185"/>
    </row>
    <row r="13" spans="3:10" ht="15">
      <c r="C13" s="23" t="s">
        <v>87</v>
      </c>
      <c r="E13" s="157"/>
      <c r="F13" s="52"/>
      <c r="G13" s="196"/>
      <c r="H13" s="195"/>
      <c r="I13" s="185"/>
      <c r="J13" s="185"/>
    </row>
    <row r="14" spans="4:12" ht="15">
      <c r="D14" t="s">
        <v>88</v>
      </c>
      <c r="E14" s="157"/>
      <c r="F14" s="52"/>
      <c r="G14" s="196"/>
      <c r="H14" s="195"/>
      <c r="I14" s="214">
        <v>10000.0</v>
      </c>
      <c r="J14" s="214">
        <v>0.0</v>
      </c>
      <c r="K14" s="154">
        <f>+I14-J14</f>
        <v>10000.0</v>
      </c>
      <c r="L14" s="43">
        <f>+K14/I14</f>
        <v>1.0</v>
      </c>
    </row>
    <row r="15" spans="3:12" ht="15">
      <c r="C15" s="23" t="s">
        <v>26</v>
      </c>
      <c r="E15" s="157"/>
      <c r="F15" s="52"/>
      <c r="G15" s="196"/>
      <c r="H15" s="195"/>
      <c r="I15" s="214">
        <v>73211.0</v>
      </c>
      <c r="J15" s="214">
        <v>9927.0</v>
      </c>
      <c r="K15" s="154">
        <f>+I15-J15</f>
        <v>63284.0</v>
      </c>
      <c r="L15" s="43">
        <f>+K15/I15</f>
        <v>0.8644056221059677</v>
      </c>
    </row>
    <row r="16" spans="2:12" ht="15">
      <c r="B16" s="104" t="s">
        <v>64</v>
      </c>
      <c r="C16" s="100" t="s">
        <v>89</v>
      </c>
      <c r="D16" s="101"/>
      <c r="E16" s="155"/>
      <c r="F16" s="105"/>
      <c r="G16" s="197"/>
      <c r="H16" s="198"/>
      <c r="I16" s="166">
        <f>SUM(I11:I15)</f>
        <v>95211.0</v>
      </c>
      <c r="J16" s="166">
        <f>SUM(J11:J15)</f>
        <v>9927.0</v>
      </c>
      <c r="K16" s="166">
        <f>SUM(K11:K15)</f>
        <v>85284.0</v>
      </c>
      <c r="L16" s="429">
        <f>K16/I16</f>
        <v>0.8957368371301635</v>
      </c>
    </row>
    <row r="17" spans="7:8" ht="15">
      <c r="G17" s="194"/>
      <c r="H17" s="195"/>
    </row>
    <row r="18" spans="3:8" ht="18.75">
      <c r="C18" s="30" t="s">
        <v>92</v>
      </c>
      <c r="G18" s="194"/>
      <c r="H18" s="195"/>
    </row>
    <row r="19" spans="7:8" ht="15">
      <c r="G19" s="194"/>
      <c r="H19" s="195"/>
    </row>
    <row r="20" spans="3:8" ht="15">
      <c r="C20" s="23" t="s">
        <v>136</v>
      </c>
      <c r="F20" s="188"/>
      <c r="G20" s="194"/>
      <c r="H20" s="195"/>
    </row>
    <row r="21" spans="4:12" ht="15">
      <c r="D21" t="s">
        <v>136</v>
      </c>
      <c r="E21" s="214">
        <v>127355.0</v>
      </c>
      <c r="F21" s="188">
        <v>1.0</v>
      </c>
      <c r="G21" s="215">
        <v>1.0</v>
      </c>
      <c r="H21" s="199" t="s">
        <v>101</v>
      </c>
      <c r="I21" s="154">
        <f>+E21*F21*G21</f>
        <v>127355.0</v>
      </c>
      <c r="J21" s="214">
        <v>96437.0</v>
      </c>
      <c r="K21" s="154">
        <f>I21-J21</f>
        <v>30918.0</v>
      </c>
      <c r="L21" s="43">
        <f>K21/I21</f>
        <v>0.24277020925758705</v>
      </c>
    </row>
    <row r="22" spans="2:12" s="31" customFormat="1" ht="15" hidden="1">
      <c r="B22" s="373" t="s">
        <v>108</v>
      </c>
      <c r="C22" s="374">
        <v>0.0</v>
      </c>
      <c r="D22" s="390" t="s">
        <v>263</v>
      </c>
      <c r="E22" s="391">
        <f>+I22/G21/F21</f>
        <v>0.0</v>
      </c>
      <c r="F22" s="392"/>
      <c r="G22" s="393"/>
      <c r="H22" s="200"/>
      <c r="I22" s="391">
        <f>-(L6*C22)</f>
        <v>0.0</v>
      </c>
      <c r="J22" s="391"/>
      <c r="K22" s="391">
        <f>+I22</f>
        <v>0.0</v>
      </c>
      <c r="L22" s="394" t="e">
        <f>+K22/I22</f>
        <v>#DIV/0!</v>
      </c>
    </row>
    <row r="23" spans="2:12" s="31" customFormat="1" ht="15" hidden="1">
      <c r="B23" s="373"/>
      <c r="C23" s="374"/>
      <c r="D23" s="395" t="s">
        <v>233</v>
      </c>
      <c r="E23" s="217">
        <v>0.0</v>
      </c>
      <c r="F23" s="396"/>
      <c r="G23" s="398"/>
      <c r="H23" s="399"/>
      <c r="I23" s="397">
        <f>E23</f>
        <v>0.0</v>
      </c>
      <c r="J23" s="397"/>
      <c r="K23" s="397">
        <f>+E23</f>
        <v>0.0</v>
      </c>
      <c r="L23" s="400" t="e">
        <f>+K23/I23</f>
        <v>#DIV/0!</v>
      </c>
    </row>
    <row r="24" spans="2:12" ht="15">
      <c r="B24" s="99"/>
      <c r="C24" s="100" t="s">
        <v>137</v>
      </c>
      <c r="D24" s="100"/>
      <c r="E24" s="401">
        <f>MIN(E21,SUM(E21:E23))</f>
        <v>127355.0</v>
      </c>
      <c r="F24" s="402"/>
      <c r="G24" s="403"/>
      <c r="H24" s="404"/>
      <c r="I24" s="401">
        <f>MIN(I21,SUM(I21:I23))</f>
        <v>127355.0</v>
      </c>
      <c r="J24" s="401">
        <f>SUM(J21:J23)</f>
        <v>96437.0</v>
      </c>
      <c r="K24" s="401">
        <f>MIN(K21,SUM(K21:K23))</f>
        <v>30918.0</v>
      </c>
      <c r="L24" s="106">
        <f>+K24/I24</f>
        <v>0.24277020925758705</v>
      </c>
    </row>
    <row r="25" spans="2:12" ht="15">
      <c r="B25"/>
      <c r="C25"/>
      <c r="E25"/>
      <c r="F25"/>
      <c r="G25" s="448"/>
      <c r="H25" s="449"/>
      <c r="I25"/>
      <c r="J25"/>
      <c r="K25"/>
      <c r="L25"/>
    </row>
    <row r="26" spans="3:8" ht="15">
      <c r="C26" s="23" t="s">
        <v>299</v>
      </c>
      <c r="F26" s="188"/>
      <c r="G26" s="194"/>
      <c r="H26" s="195"/>
    </row>
    <row r="27" spans="4:12" ht="15">
      <c r="D27" t="s">
        <v>94</v>
      </c>
      <c r="E27" s="214">
        <v>0.01</v>
      </c>
      <c r="F27" s="188">
        <v>0.95</v>
      </c>
      <c r="G27" s="215">
        <v>1.0125</v>
      </c>
      <c r="H27" s="199" t="s">
        <v>101</v>
      </c>
      <c r="I27" s="154">
        <f>+E27*F27*G27</f>
        <v>0.009618749999999999</v>
      </c>
      <c r="J27" s="214">
        <v>0.0</v>
      </c>
      <c r="K27" s="154">
        <f>+I27-J27</f>
        <v>0.009618749999999999</v>
      </c>
      <c r="L27" s="43">
        <f>+K27/I27</f>
        <v>1.0</v>
      </c>
    </row>
    <row r="28" spans="4:15" ht="15">
      <c r="D28" t="s">
        <v>95</v>
      </c>
      <c r="E28" s="214">
        <v>278932.0</v>
      </c>
      <c r="F28" s="188">
        <v>1.0</v>
      </c>
      <c r="G28" s="215">
        <v>1.0</v>
      </c>
      <c r="H28" s="199" t="s">
        <v>101</v>
      </c>
      <c r="I28" s="154">
        <f>+E28*F28*G28</f>
        <v>278932.0</v>
      </c>
      <c r="J28" s="214">
        <v>54430.0</v>
      </c>
      <c r="K28" s="154">
        <f>+I28-J28</f>
        <v>224502.0</v>
      </c>
      <c r="L28" s="43">
        <f>+K28/I28</f>
        <v>0.8048628339523611</v>
      </c>
      <c r="O28" t="s">
        <v>142</v>
      </c>
    </row>
    <row r="29" spans="4:12" ht="15">
      <c r="D29" t="s">
        <v>96</v>
      </c>
      <c r="E29" s="214">
        <v>0.01</v>
      </c>
      <c r="F29" s="188">
        <v>0.5</v>
      </c>
      <c r="G29" s="215">
        <v>1.0</v>
      </c>
      <c r="H29" s="199" t="s">
        <v>101</v>
      </c>
      <c r="I29" s="154">
        <f>+E29*F29*G29</f>
        <v>0.005</v>
      </c>
      <c r="J29" s="214">
        <v>0.0</v>
      </c>
      <c r="K29" s="154">
        <f>+I29-J29</f>
        <v>0.005</v>
      </c>
      <c r="L29" s="43">
        <f>+K29/I29</f>
        <v>1.0</v>
      </c>
    </row>
    <row r="30" spans="2:12" ht="15">
      <c r="B30" s="104"/>
      <c r="C30" s="100" t="s">
        <v>132</v>
      </c>
      <c r="D30" s="101"/>
      <c r="E30" s="155">
        <f>SUM(E27:E29)</f>
        <v>278932.02</v>
      </c>
      <c r="F30" s="189"/>
      <c r="G30" s="201"/>
      <c r="H30" s="198"/>
      <c r="I30" s="155">
        <f>SUM(I27:I29)</f>
        <v>278932.01461875</v>
      </c>
      <c r="J30" s="155">
        <f>SUM(J28:J29)</f>
        <v>54430.0</v>
      </c>
      <c r="K30" s="155">
        <f>SUM(K27:K29)</f>
        <v>224502.01461875</v>
      </c>
      <c r="L30" s="107">
        <f>+K30/I30</f>
        <v>0.8048628441794461</v>
      </c>
    </row>
    <row r="31" spans="6:8" ht="15">
      <c r="F31" s="188"/>
      <c r="G31" s="194"/>
      <c r="H31" s="195"/>
    </row>
    <row r="32" spans="3:8" ht="15">
      <c r="C32" s="23" t="s">
        <v>281</v>
      </c>
      <c r="F32" s="188"/>
      <c r="G32" s="194"/>
      <c r="H32" s="195"/>
    </row>
    <row r="33" spans="2:12" ht="18.75">
      <c r="B33" s="30"/>
      <c r="D33" t="s">
        <v>93</v>
      </c>
      <c r="E33" s="214">
        <v>0.01</v>
      </c>
      <c r="F33" s="188">
        <v>0.9</v>
      </c>
      <c r="G33" s="215">
        <v>0.985</v>
      </c>
      <c r="H33" s="199" t="s">
        <v>101</v>
      </c>
      <c r="I33" s="154">
        <f>+E33*F33*G33</f>
        <v>0.008865000000000001</v>
      </c>
      <c r="J33" s="214">
        <v>0.0</v>
      </c>
      <c r="K33" s="154">
        <f>+I33-J33</f>
        <v>0.008865000000000001</v>
      </c>
      <c r="L33" s="43">
        <f>+K33/I33</f>
        <v>1.0</v>
      </c>
    </row>
    <row r="34" spans="2:12" ht="15">
      <c r="B34" s="104"/>
      <c r="C34" s="100" t="s">
        <v>281</v>
      </c>
      <c r="D34" s="101"/>
      <c r="E34" s="155">
        <f>SUM(E32:E33)</f>
        <v>0.01</v>
      </c>
      <c r="F34" s="189"/>
      <c r="G34" s="201"/>
      <c r="H34" s="198"/>
      <c r="I34" s="155">
        <f>SUM(I32:I33)</f>
        <v>0.008865000000000001</v>
      </c>
      <c r="J34" s="155">
        <f>SUM(J32:J33)</f>
        <v>0.0</v>
      </c>
      <c r="K34" s="155">
        <f>SUM(K32:K33)</f>
        <v>0.008865000000000001</v>
      </c>
      <c r="L34" s="107">
        <f>+K34/I34</f>
        <v>1.0</v>
      </c>
    </row>
    <row r="35" spans="2:8" ht="18.75">
      <c r="B35" s="30"/>
      <c r="F35" s="188"/>
      <c r="G35" s="194"/>
      <c r="H35" s="195"/>
    </row>
    <row r="36" spans="3:8" ht="15">
      <c r="C36" s="23" t="s">
        <v>72</v>
      </c>
      <c r="F36" s="188"/>
      <c r="G36" s="194"/>
      <c r="H36" s="195"/>
    </row>
    <row r="37" spans="4:12" ht="15">
      <c r="D37" t="s">
        <v>103</v>
      </c>
      <c r="E37" s="214">
        <v>3372.0</v>
      </c>
      <c r="F37" s="188">
        <v>1.0</v>
      </c>
      <c r="G37" s="215">
        <v>1.0</v>
      </c>
      <c r="H37" s="199" t="s">
        <v>101</v>
      </c>
      <c r="I37" s="154">
        <f>+E37*F37*G37</f>
        <v>3372.0</v>
      </c>
      <c r="J37" s="214">
        <v>0.0</v>
      </c>
      <c r="K37" s="154">
        <f>+I37-J37</f>
        <v>3372.0</v>
      </c>
      <c r="L37" s="43">
        <f>+K37/I37</f>
        <v>1.0</v>
      </c>
    </row>
    <row r="38" spans="4:12" ht="15">
      <c r="D38" t="s">
        <v>104</v>
      </c>
      <c r="E38" s="214">
        <v>0.01</v>
      </c>
      <c r="F38" s="188">
        <v>0.6</v>
      </c>
      <c r="G38" s="215">
        <v>1.0125</v>
      </c>
      <c r="H38" s="199" t="s">
        <v>101</v>
      </c>
      <c r="I38" s="154">
        <f>+E38*F38*G38</f>
        <v>0.006075</v>
      </c>
      <c r="J38" s="214">
        <v>0.0</v>
      </c>
      <c r="K38" s="154">
        <f>+I38-J38</f>
        <v>0.006075</v>
      </c>
      <c r="L38" s="43">
        <f>+K38/I38</f>
        <v>1.0</v>
      </c>
    </row>
    <row r="39" spans="4:12" ht="15">
      <c r="D39" t="s">
        <v>105</v>
      </c>
      <c r="E39" s="214">
        <v>0.01</v>
      </c>
      <c r="F39" s="188">
        <v>0.5</v>
      </c>
      <c r="G39" s="450">
        <v>1.0</v>
      </c>
      <c r="H39" s="451" t="s">
        <v>101</v>
      </c>
      <c r="I39" s="154">
        <f>+E39*F39*G39</f>
        <v>0.005</v>
      </c>
      <c r="J39" s="214">
        <v>0.0</v>
      </c>
      <c r="K39" s="154">
        <f>+I39-J39</f>
        <v>0.005</v>
      </c>
      <c r="L39" s="43">
        <f>+K39/I39</f>
        <v>1.0</v>
      </c>
    </row>
    <row r="40" spans="2:12" ht="15">
      <c r="B40" s="104"/>
      <c r="C40" s="100" t="s">
        <v>72</v>
      </c>
      <c r="D40" s="101"/>
      <c r="E40" s="155">
        <f>SUM(E36:E39)</f>
        <v>3372.0200000000004</v>
      </c>
      <c r="F40" s="189"/>
      <c r="G40" s="201"/>
      <c r="H40" s="198"/>
      <c r="I40" s="155">
        <f>SUM(I37:I39)</f>
        <v>3372.011075</v>
      </c>
      <c r="J40" s="155">
        <f>SUM(J37:J39)</f>
        <v>0.0</v>
      </c>
      <c r="K40" s="155">
        <f>SUM(K37:K39)</f>
        <v>3372.011075</v>
      </c>
      <c r="L40" s="107">
        <f>+K40/I40</f>
        <v>1.0</v>
      </c>
    </row>
    <row r="41" spans="4:12" ht="15">
      <c r="D41" s="54"/>
      <c r="E41" s="156"/>
      <c r="F41" s="190"/>
      <c r="G41" s="190"/>
      <c r="H41" s="156"/>
      <c r="I41" s="156"/>
      <c r="J41" s="156"/>
      <c r="K41" s="156"/>
      <c r="L41" s="55"/>
    </row>
    <row r="42" spans="2:12" s="23" customFormat="1" ht="15">
      <c r="B42" s="104" t="s">
        <v>65</v>
      </c>
      <c r="C42" s="100" t="s">
        <v>113</v>
      </c>
      <c r="D42" s="101"/>
      <c r="E42" s="166">
        <f>+E21+E30+E34+E40</f>
        <v>409659.05000000005</v>
      </c>
      <c r="F42" s="430"/>
      <c r="G42" s="430"/>
      <c r="H42" s="430"/>
      <c r="I42" s="166">
        <f>+I21+I30+I34+I40</f>
        <v>409659.03455875</v>
      </c>
      <c r="J42" s="166">
        <f>+J21+J30+J34+J40</f>
        <v>150867.0</v>
      </c>
      <c r="K42" s="166">
        <f>+K21+K30+K34+K40</f>
        <v>258792.03455875</v>
      </c>
      <c r="L42" s="431">
        <f>+K42/I42</f>
        <v>0.6317254417139826</v>
      </c>
    </row>
    <row r="43" spans="5:12" s="23" customFormat="1" ht="15">
      <c r="E43" s="157"/>
      <c r="F43" s="191"/>
      <c r="G43" s="191"/>
      <c r="H43" s="191"/>
      <c r="I43" s="191"/>
      <c r="J43" s="157"/>
      <c r="K43" s="157"/>
      <c r="L43" s="53"/>
    </row>
    <row r="44" spans="2:12" ht="15.75">
      <c r="B44" s="445" t="s">
        <v>300</v>
      </c>
      <c r="C44" s="443"/>
      <c r="D44" s="432"/>
      <c r="E44" s="433"/>
      <c r="F44" s="434"/>
      <c r="G44" s="435"/>
      <c r="H44" s="436"/>
      <c r="I44" s="433">
        <f>+I42+I16</f>
        <v>504870.03455875</v>
      </c>
      <c r="J44" s="433">
        <f>+J42+J16</f>
        <v>160794.0</v>
      </c>
      <c r="K44" s="433">
        <f>+K42+K16</f>
        <v>344076.03455875</v>
      </c>
      <c r="L44" s="437">
        <f>+K44/I44</f>
        <v>0.6815140749231989</v>
      </c>
    </row>
    <row r="45" spans="2:12" ht="15">
      <c r="B45" s="141"/>
      <c r="C45" s="444" t="s">
        <v>262</v>
      </c>
      <c r="D45" s="438"/>
      <c r="E45" s="167"/>
      <c r="F45" s="439"/>
      <c r="G45" s="440"/>
      <c r="H45" s="441"/>
      <c r="I45" s="128">
        <f>I44/L6</f>
        <v>0.6896114160188798</v>
      </c>
      <c r="J45" s="128">
        <f>J44/L6</f>
        <v>0.2196315297742956</v>
      </c>
      <c r="K45" s="128">
        <f>K44/L6</f>
        <v>0.46997988624458414</v>
      </c>
      <c r="L45" s="442"/>
    </row>
    <row r="46" spans="8:8" ht="15">
      <c r="H46" s="42"/>
    </row>
    <row r="47" spans="2:2" ht="15">
      <c r="B47" s="23" t="s">
        <v>102</v>
      </c>
    </row>
    <row r="48" spans="2:12" s="45" customFormat="1" ht="74.25" customHeight="1" thickBot="1">
      <c r="B48" s="255" t="s">
        <v>101</v>
      </c>
      <c r="C48" s="521" t="s">
        <v>171</v>
      </c>
      <c r="D48" s="521"/>
      <c r="E48" s="521"/>
      <c r="F48" s="521"/>
      <c r="G48" s="521"/>
      <c r="H48" s="521"/>
      <c r="I48" s="521"/>
      <c r="J48" s="521"/>
      <c r="K48" s="521"/>
      <c r="L48" s="521"/>
    </row>
  </sheetData>
  <mergeCells count="4">
    <mergeCell ref="C48:L48"/>
    <mergeCell ref="B1:L1"/>
    <mergeCell ref="B2:L2"/>
    <mergeCell ref="B3:L3"/>
  </mergeCells>
  <printOptions horizontalCentered="1"/>
  <pageMargins left="0.75" right="0.5" top="0.5" bottom="0.5" header="0.3" footer="0.3"/>
  <pageSetup orientation="portrait" scale="77" r:id="rId2"/>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mc:Ignorable="x14ac" xr:uid="{4105543f-f1d8-4ccf-aa07-656c234f02a8}">
  <sheetPr codeName="Sheet4">
    <tabColor rgb="FF00CC66"/>
    <pageSetUpPr fitToPage="1"/>
  </sheetPr>
  <dimension ref="B1:N57"/>
  <sheetViews>
    <sheetView zoomScale="85" zoomScaleNormal="85" workbookViewId="0" topLeftCell="A1">
      <selection pane="topLeft" activeCell="B1" sqref="B1:J1"/>
    </sheetView>
  </sheetViews>
  <sheetFormatPr defaultRowHeight="15"/>
  <cols>
    <col min="1" max="1" width="15.625" customWidth="1"/>
    <col min="2" max="2" width="6.75" style="23" customWidth="1"/>
    <col min="3" max="3" width="44.75" customWidth="1"/>
    <col min="4" max="4" width="8.75" style="164" customWidth="1"/>
    <col min="5" max="5" width="8.75" style="49" customWidth="1"/>
    <col min="6" max="6" width="8.75" style="47" customWidth="1"/>
    <col min="7" max="9" width="8.75" style="154" customWidth="1"/>
    <col min="10" max="10" width="9.125" style="164"/>
  </cols>
  <sheetData>
    <row r="1" spans="2:10" ht="21">
      <c r="B1" s="486" t="str">
        <f>Description!B4</f>
        <v>Sample Bank</v>
      </c>
      <c r="C1" s="495"/>
      <c r="D1" s="495"/>
      <c r="E1" s="495"/>
      <c r="F1" s="495"/>
      <c r="G1" s="495"/>
      <c r="H1" s="495"/>
      <c r="I1" s="495"/>
      <c r="J1" s="487"/>
    </row>
    <row r="2" spans="2:10" ht="21">
      <c r="B2" s="488" t="s">
        <v>109</v>
      </c>
      <c r="C2" s="496"/>
      <c r="D2" s="496"/>
      <c r="E2" s="496"/>
      <c r="F2" s="496"/>
      <c r="G2" s="496"/>
      <c r="H2" s="496"/>
      <c r="I2" s="496"/>
      <c r="J2" s="489"/>
    </row>
    <row r="3" spans="2:10" ht="16.5" thickBot="1">
      <c r="B3" s="490">
        <f>Description!B2</f>
        <v>43830.0</v>
      </c>
      <c r="C3" s="522"/>
      <c r="D3" s="522"/>
      <c r="E3" s="522"/>
      <c r="F3" s="522"/>
      <c r="G3" s="522"/>
      <c r="H3" s="522"/>
      <c r="I3" s="522"/>
      <c r="J3" s="491"/>
    </row>
    <row r="4" spans="2:10" ht="21">
      <c r="B4" s="90"/>
      <c r="C4" s="54"/>
      <c r="H4" s="234"/>
      <c r="I4" s="234"/>
      <c r="J4" s="234"/>
    </row>
    <row r="5" ht="15" customHeight="1"/>
    <row r="6" spans="2:3" ht="15" customHeight="1">
      <c r="B6" s="233" t="s">
        <v>146</v>
      </c>
      <c r="C6" s="230" t="s">
        <v>165</v>
      </c>
    </row>
    <row r="7" spans="4:10" ht="30.75" customHeight="1">
      <c r="D7" s="162" t="s">
        <v>44</v>
      </c>
      <c r="E7" s="27" t="s">
        <v>110</v>
      </c>
      <c r="F7" s="277" t="s">
        <v>291</v>
      </c>
      <c r="G7" s="163" t="str">
        <f>+' 2 - Sources &amp; Uses'!G5</f>
        <v>30 days</v>
      </c>
      <c r="H7" s="163" t="str">
        <f>+' 2 - Sources &amp; Uses'!H5</f>
        <v>90 days</v>
      </c>
      <c r="I7" s="163" t="str">
        <f>+' 2 - Sources &amp; Uses'!I5</f>
        <v>4-6 Months</v>
      </c>
      <c r="J7" s="163" t="str">
        <f>+' 2 - Sources &amp; Uses'!J5</f>
        <v>7-12 Months</v>
      </c>
    </row>
    <row r="8" spans="6:14" s="36" customFormat="1" ht="10.5" customHeight="1">
      <c r="F8" s="46"/>
      <c r="G8" s="153"/>
      <c r="H8" s="153"/>
      <c r="I8" s="153"/>
      <c r="J8" s="153"/>
      <c r="K8"/>
      <c r="L8"/>
      <c r="M8"/>
      <c r="N8"/>
    </row>
    <row r="9" spans="2:14" s="36" customFormat="1" ht="12" customHeight="1">
      <c r="B9" s="23" t="s">
        <v>69</v>
      </c>
      <c r="C9"/>
      <c r="D9" s="154">
        <f>D42</f>
        <v>732108.0</v>
      </c>
      <c r="E9" s="49"/>
      <c r="F9" s="47"/>
      <c r="G9" s="154">
        <f t="shared" si="0" ref="G9:J9">G42</f>
        <v>729055.0</v>
      </c>
      <c r="H9" s="154">
        <f t="shared" si="0"/>
        <v>741398.0</v>
      </c>
      <c r="I9" s="154">
        <f t="shared" si="0"/>
        <v>759001.0</v>
      </c>
      <c r="J9" s="154">
        <f t="shared" si="0"/>
        <v>785265.0</v>
      </c>
      <c r="K9"/>
      <c r="L9"/>
      <c r="M9"/>
      <c r="N9"/>
    </row>
    <row r="10" spans="10:10" ht="15">
      <c r="J10" s="154"/>
    </row>
    <row r="11" spans="2:10" ht="18.75">
      <c r="B11" s="30" t="s">
        <v>109</v>
      </c>
      <c r="J11" s="154"/>
    </row>
    <row r="12" spans="10:10" ht="15">
      <c r="J12" s="154"/>
    </row>
    <row r="13" spans="2:10" s="23" customFormat="1" ht="15">
      <c r="B13" s="23" t="s">
        <v>64</v>
      </c>
      <c r="C13" s="23" t="s">
        <v>111</v>
      </c>
      <c r="D13" s="165"/>
      <c r="E13" s="50"/>
      <c r="F13" s="48"/>
      <c r="G13" s="157"/>
      <c r="H13" s="157"/>
      <c r="I13" s="157"/>
      <c r="J13" s="157"/>
    </row>
    <row r="14" spans="3:10" ht="15">
      <c r="C14" t="s">
        <v>212</v>
      </c>
      <c r="D14" s="214">
        <v>97889.0</v>
      </c>
      <c r="E14" s="51">
        <f>+D14/$D$9</f>
        <v>0.13370841460549537</v>
      </c>
      <c r="G14" s="214">
        <v>98377.0</v>
      </c>
      <c r="H14" s="214">
        <v>99358.0</v>
      </c>
      <c r="I14" s="214">
        <v>100849.0</v>
      </c>
      <c r="J14" s="214">
        <v>103898.0</v>
      </c>
    </row>
    <row r="15" spans="3:10" ht="15">
      <c r="C15" t="s">
        <v>213</v>
      </c>
      <c r="D15" s="214">
        <v>171832.0</v>
      </c>
      <c r="E15" s="51">
        <f>+D15/$D$9</f>
        <v>0.2347085402700148</v>
      </c>
      <c r="G15" s="214">
        <v>169571.0</v>
      </c>
      <c r="H15" s="214">
        <v>169000.0</v>
      </c>
      <c r="I15" s="214">
        <v>186400.0</v>
      </c>
      <c r="J15" s="214">
        <v>174725.0</v>
      </c>
    </row>
    <row r="16" spans="3:10" ht="15">
      <c r="C16" t="s">
        <v>214</v>
      </c>
      <c r="D16" s="214">
        <v>89124.0</v>
      </c>
      <c r="E16" s="51">
        <f>+D16/$D$9</f>
        <v>0.12173613729121933</v>
      </c>
      <c r="G16" s="214">
        <v>87625.0</v>
      </c>
      <c r="H16" s="214">
        <v>91916.0</v>
      </c>
      <c r="I16" s="214">
        <v>101942.0</v>
      </c>
      <c r="J16" s="214">
        <v>92141.0</v>
      </c>
    </row>
    <row r="17" spans="4:10" ht="15">
      <c r="D17" s="185"/>
      <c r="E17" s="51"/>
      <c r="G17" s="185"/>
      <c r="H17" s="185"/>
      <c r="I17" s="185"/>
      <c r="J17" s="185"/>
    </row>
    <row r="18" spans="3:10" ht="15">
      <c r="C18" t="s">
        <v>218</v>
      </c>
      <c r="D18" s="214">
        <v>107074.0</v>
      </c>
      <c r="E18" s="51">
        <f>+D18/$D$9</f>
        <v>0.14625437776940015</v>
      </c>
      <c r="G18" s="214">
        <v>103849.0</v>
      </c>
      <c r="H18" s="214">
        <v>99717.0</v>
      </c>
      <c r="I18" s="214">
        <v>98929.0</v>
      </c>
      <c r="J18" s="214">
        <v>116126.0</v>
      </c>
    </row>
    <row r="19" spans="3:10" ht="15">
      <c r="C19" t="s">
        <v>215</v>
      </c>
      <c r="D19" s="214">
        <v>17265.0</v>
      </c>
      <c r="E19" s="51">
        <f>+D19/$D$9</f>
        <v>0.023582586175810126</v>
      </c>
      <c r="G19" s="214">
        <v>17103.0</v>
      </c>
      <c r="H19" s="214">
        <v>16984.0</v>
      </c>
      <c r="I19" s="214">
        <v>17291.0</v>
      </c>
      <c r="J19" s="214">
        <v>19556.0</v>
      </c>
    </row>
    <row r="20" spans="3:10" ht="15">
      <c r="C20" t="s">
        <v>216</v>
      </c>
      <c r="D20" s="214">
        <v>26335.0</v>
      </c>
      <c r="E20" s="51">
        <f>+D20/$D$9</f>
        <v>0.0359714686904118</v>
      </c>
      <c r="G20" s="214">
        <v>25992.0</v>
      </c>
      <c r="H20" s="214">
        <v>25557.0</v>
      </c>
      <c r="I20" s="214">
        <v>25410.0</v>
      </c>
      <c r="J20" s="214">
        <v>26450.0</v>
      </c>
    </row>
    <row r="21" spans="3:10" ht="15">
      <c r="C21" s="99" t="s">
        <v>218</v>
      </c>
      <c r="D21" s="166">
        <f>SUM(D18:D20)</f>
        <v>150674.0</v>
      </c>
      <c r="E21" s="102">
        <f>+D21/$D$9</f>
        <v>0.20580843263562207</v>
      </c>
      <c r="F21" s="103"/>
      <c r="G21" s="166">
        <f>SUM(G18:G20)</f>
        <v>146944.0</v>
      </c>
      <c r="H21" s="166">
        <f>SUM(H18:H20)</f>
        <v>142258.0</v>
      </c>
      <c r="I21" s="166">
        <f t="shared" si="1" ref="I21:J21">SUM(I18:I20)</f>
        <v>141630.0</v>
      </c>
      <c r="J21" s="168">
        <f t="shared" si="1"/>
        <v>162132.0</v>
      </c>
    </row>
    <row r="22" spans="3:10" ht="15">
      <c r="C22" s="99" t="s">
        <v>131</v>
      </c>
      <c r="D22" s="166">
        <f>SUM(D14:D20)</f>
        <v>509519.0</v>
      </c>
      <c r="E22" s="377">
        <f>+D22/$D$9</f>
        <v>0.6959615248023515</v>
      </c>
      <c r="F22" s="103"/>
      <c r="G22" s="166">
        <f>SUM(G14:G20)</f>
        <v>502517.0</v>
      </c>
      <c r="H22" s="166">
        <f>SUM(H14:H20)</f>
        <v>502532.0</v>
      </c>
      <c r="I22" s="166">
        <f>SUM(I14:I20)</f>
        <v>530821.0</v>
      </c>
      <c r="J22" s="168">
        <f>SUM(J14:J20)</f>
        <v>532896.0</v>
      </c>
    </row>
    <row r="23" spans="4:10" ht="15">
      <c r="D23" s="154"/>
      <c r="E23" s="51"/>
      <c r="G23" s="47"/>
      <c r="H23" s="47"/>
      <c r="I23" s="47"/>
      <c r="J23" s="47"/>
    </row>
    <row r="24" spans="2:10" s="23" customFormat="1" ht="15">
      <c r="B24" s="23" t="s">
        <v>65</v>
      </c>
      <c r="C24" s="23" t="s">
        <v>48</v>
      </c>
      <c r="D24" s="165"/>
      <c r="E24" s="50"/>
      <c r="F24" s="383" t="s">
        <v>163</v>
      </c>
      <c r="G24" s="157"/>
      <c r="H24" s="157"/>
      <c r="I24" s="157"/>
      <c r="J24" s="157"/>
    </row>
    <row r="25" spans="3:14" ht="15">
      <c r="C25" s="159" t="s">
        <v>27</v>
      </c>
      <c r="D25" s="216">
        <v>62965.0</v>
      </c>
      <c r="E25" s="51">
        <f>+D25/$D$9</f>
        <v>0.08600507029017576</v>
      </c>
      <c r="F25" s="278">
        <f>+'1 - Summary'!E33</f>
        <v>0.1</v>
      </c>
      <c r="G25" s="216">
        <v>59965.0</v>
      </c>
      <c r="H25" s="216">
        <v>45446.0</v>
      </c>
      <c r="I25" s="216">
        <v>25392.0</v>
      </c>
      <c r="J25" s="216">
        <v>62965.0</v>
      </c>
      <c r="K25" s="86"/>
      <c r="L25" s="86"/>
      <c r="M25" s="86"/>
      <c r="N25" s="86"/>
    </row>
    <row r="26" spans="3:14" ht="15">
      <c r="C26" s="159" t="s">
        <v>56</v>
      </c>
      <c r="D26" s="204">
        <f>'4 - Capacity'!J15</f>
        <v>9927.0</v>
      </c>
      <c r="E26" s="127">
        <f>+D26/$D$9</f>
        <v>0.013559474831582225</v>
      </c>
      <c r="F26" s="278">
        <f>+'1 - Summary'!E34</f>
        <v>0.1</v>
      </c>
      <c r="G26" s="216">
        <v>9927.0</v>
      </c>
      <c r="H26" s="216">
        <v>9927.0</v>
      </c>
      <c r="I26" s="216">
        <v>9927.0</v>
      </c>
      <c r="J26" s="216">
        <v>9927.0</v>
      </c>
      <c r="K26" s="86"/>
      <c r="L26" s="86"/>
      <c r="M26" s="86"/>
      <c r="N26" s="86"/>
    </row>
    <row r="27" spans="3:10" ht="15">
      <c r="C27" s="99" t="s">
        <v>148</v>
      </c>
      <c r="D27" s="166">
        <f>SUM(D25:D26)</f>
        <v>72892.0</v>
      </c>
      <c r="E27" s="377">
        <f>+D27/$D$9</f>
        <v>0.099564545121758</v>
      </c>
      <c r="F27" s="452"/>
      <c r="G27" s="166">
        <f>SUM(G25:G26)</f>
        <v>69892.0</v>
      </c>
      <c r="H27" s="166">
        <f t="shared" si="2" ref="H27:I27">SUM(H25:H26)</f>
        <v>55373.0</v>
      </c>
      <c r="I27" s="166">
        <f t="shared" si="2"/>
        <v>35319.0</v>
      </c>
      <c r="J27" s="168">
        <f>SUM(J25:J26)</f>
        <v>72892.0</v>
      </c>
    </row>
    <row r="28" spans="4:10" ht="15">
      <c r="D28" s="154"/>
      <c r="E28" s="51"/>
      <c r="F28" s="378"/>
      <c r="J28" s="154"/>
    </row>
    <row r="29" spans="3:10" ht="15">
      <c r="C29" s="124" t="s">
        <v>141</v>
      </c>
      <c r="D29" s="203">
        <f>'4 - Capacity'!J11+'4 - Capacity'!J14</f>
        <v>0.0</v>
      </c>
      <c r="E29" s="125">
        <f>+D29/$D$9</f>
        <v>0.0</v>
      </c>
      <c r="F29" s="278">
        <f>+'1 - Summary'!E32</f>
        <v>0.1</v>
      </c>
      <c r="G29" s="217">
        <v>406.0</v>
      </c>
      <c r="H29" s="217">
        <v>1007.0</v>
      </c>
      <c r="I29" s="217">
        <v>1795.0</v>
      </c>
      <c r="J29" s="218">
        <v>3054.0</v>
      </c>
    </row>
    <row r="30" spans="3:14" ht="15">
      <c r="C30" s="126" t="s">
        <v>161</v>
      </c>
      <c r="D30" s="202">
        <f>+'4 - Capacity'!J30</f>
        <v>54430.0</v>
      </c>
      <c r="E30" s="127">
        <f>+D30/$D$9</f>
        <v>0.07434695427450595</v>
      </c>
      <c r="F30" s="278">
        <f>+'1 - Summary'!E35</f>
        <v>0.15</v>
      </c>
      <c r="G30" s="216">
        <v>60601.0</v>
      </c>
      <c r="H30" s="216">
        <v>86183.0</v>
      </c>
      <c r="I30" s="216">
        <v>93666.0</v>
      </c>
      <c r="J30" s="219">
        <v>76252.0</v>
      </c>
      <c r="K30" s="86"/>
      <c r="L30" s="86"/>
      <c r="M30" s="86"/>
      <c r="N30" s="86"/>
    </row>
    <row r="31" spans="3:14" ht="15">
      <c r="C31" s="160" t="s">
        <v>147</v>
      </c>
      <c r="D31" s="204">
        <f>+'4 - Capacity'!J34+'4 - Capacity'!J40</f>
        <v>0.0</v>
      </c>
      <c r="E31" s="161">
        <f t="shared" si="3" ref="E31">+D31/$D$9</f>
        <v>0.0</v>
      </c>
      <c r="F31" s="279">
        <f>+'1 - Summary'!E36</f>
        <v>0.1</v>
      </c>
      <c r="G31" s="220">
        <v>0.0</v>
      </c>
      <c r="H31" s="220">
        <v>0.0</v>
      </c>
      <c r="I31" s="220">
        <v>0.0</v>
      </c>
      <c r="J31" s="221">
        <v>0.0</v>
      </c>
      <c r="K31" s="86"/>
      <c r="L31" s="86"/>
      <c r="M31" s="86"/>
      <c r="N31" s="86"/>
    </row>
    <row r="32" spans="3:10" ht="15">
      <c r="C32" s="98" t="s">
        <v>150</v>
      </c>
      <c r="D32" s="167">
        <f>SUM(D29:D31)</f>
        <v>54430.0</v>
      </c>
      <c r="E32" s="128">
        <f>+D32/$D$9</f>
        <v>0.07434695427450595</v>
      </c>
      <c r="F32" s="440"/>
      <c r="G32" s="167">
        <f>SUM(G29:G31)</f>
        <v>61007.0</v>
      </c>
      <c r="H32" s="167">
        <f t="shared" si="4" ref="H32:I32">SUM(H29:H31)</f>
        <v>87190.0</v>
      </c>
      <c r="I32" s="167">
        <f t="shared" si="4"/>
        <v>95461.0</v>
      </c>
      <c r="J32" s="168">
        <f>SUM(J29:J31)</f>
        <v>79306.0</v>
      </c>
    </row>
    <row r="33" spans="3:14" s="23" customFormat="1" ht="15">
      <c r="C33" s="98" t="s">
        <v>112</v>
      </c>
      <c r="D33" s="167">
        <f>D27+D32</f>
        <v>127322.0</v>
      </c>
      <c r="E33" s="128">
        <f>+D33/$D$9</f>
        <v>0.17391149939626394</v>
      </c>
      <c r="F33" s="279">
        <f>+'1 - Summary'!E37</f>
        <v>0.3</v>
      </c>
      <c r="G33" s="167">
        <f t="shared" si="5" ref="G33:I33">G27+G32</f>
        <v>130899.0</v>
      </c>
      <c r="H33" s="167">
        <f t="shared" si="5"/>
        <v>142563.0</v>
      </c>
      <c r="I33" s="167">
        <f t="shared" si="5"/>
        <v>130780.0</v>
      </c>
      <c r="J33" s="168">
        <f>J27+J32</f>
        <v>152198.0</v>
      </c>
      <c r="K33" s="86"/>
      <c r="L33" s="86"/>
      <c r="M33" s="86"/>
      <c r="N33" s="86"/>
    </row>
    <row r="34" spans="4:10" ht="15">
      <c r="D34" s="154"/>
      <c r="E34" s="51"/>
      <c r="J34" s="154"/>
    </row>
    <row r="35" spans="4:10" ht="15">
      <c r="D35" s="154"/>
      <c r="E35" s="51"/>
      <c r="J35" s="154"/>
    </row>
    <row r="36" spans="2:10" ht="18.75">
      <c r="B36" s="30" t="s">
        <v>153</v>
      </c>
      <c r="D36" s="154"/>
      <c r="E36" s="51"/>
      <c r="J36" s="154"/>
    </row>
    <row r="37" spans="4:10" ht="15">
      <c r="D37" s="154"/>
      <c r="E37" s="51"/>
      <c r="J37" s="154"/>
    </row>
    <row r="38" spans="3:10" ht="15">
      <c r="C38" s="159" t="s">
        <v>52</v>
      </c>
      <c r="D38" s="222">
        <v>10700.0</v>
      </c>
      <c r="E38" s="186"/>
      <c r="F38" s="186"/>
      <c r="G38" s="222">
        <v>5280.0</v>
      </c>
      <c r="H38" s="222">
        <v>5428.0</v>
      </c>
      <c r="I38" s="222">
        <v>5434.0</v>
      </c>
      <c r="J38" s="222">
        <v>5544.0</v>
      </c>
    </row>
    <row r="39" spans="3:11" ht="15">
      <c r="C39" s="159" t="s">
        <v>154</v>
      </c>
      <c r="D39" s="222">
        <v>543990.0</v>
      </c>
      <c r="E39" s="186"/>
      <c r="F39" s="186"/>
      <c r="G39" s="222">
        <v>545944.0</v>
      </c>
      <c r="H39" s="222">
        <v>550055.0</v>
      </c>
      <c r="I39" s="222">
        <v>556692.0</v>
      </c>
      <c r="J39" s="222">
        <v>571513.0</v>
      </c>
      <c r="K39" s="356"/>
    </row>
    <row r="40" spans="3:11" ht="15">
      <c r="C40" s="159" t="s">
        <v>155</v>
      </c>
      <c r="D40" s="222">
        <v>132560.0</v>
      </c>
      <c r="E40" s="186"/>
      <c r="F40" s="186"/>
      <c r="G40" s="222">
        <v>132516.0</v>
      </c>
      <c r="H40" s="222">
        <v>139944.0</v>
      </c>
      <c r="I40" s="222">
        <v>149840.0</v>
      </c>
      <c r="J40" s="222">
        <v>157165.0</v>
      </c>
      <c r="K40" s="356"/>
    </row>
    <row r="41" spans="3:11" ht="15">
      <c r="C41" t="s">
        <v>219</v>
      </c>
      <c r="D41" s="222">
        <v>44858.0</v>
      </c>
      <c r="E41" s="186"/>
      <c r="F41" s="186"/>
      <c r="G41" s="222">
        <v>45315.0</v>
      </c>
      <c r="H41" s="222">
        <v>45971.0</v>
      </c>
      <c r="I41" s="222">
        <v>47035.0</v>
      </c>
      <c r="J41" s="222">
        <v>51043.0</v>
      </c>
      <c r="K41" s="356"/>
    </row>
    <row r="42" spans="3:11" ht="15">
      <c r="C42" s="99" t="s">
        <v>107</v>
      </c>
      <c r="D42" s="166">
        <f>SUM(D38:D41)</f>
        <v>732108.0</v>
      </c>
      <c r="E42" s="102"/>
      <c r="F42" s="452"/>
      <c r="G42" s="166">
        <f t="shared" si="6" ref="G42:J42">SUM(G38:G41)</f>
        <v>729055.0</v>
      </c>
      <c r="H42" s="166">
        <f t="shared" si="6"/>
        <v>741398.0</v>
      </c>
      <c r="I42" s="166">
        <f t="shared" si="6"/>
        <v>759001.0</v>
      </c>
      <c r="J42" s="168">
        <f t="shared" si="6"/>
        <v>785265.0</v>
      </c>
      <c r="K42" s="356"/>
    </row>
    <row r="43" spans="4:11" ht="15">
      <c r="D43" s="157"/>
      <c r="E43" s="187"/>
      <c r="F43" s="48"/>
      <c r="G43" s="157"/>
      <c r="H43" s="157"/>
      <c r="I43" s="157"/>
      <c r="J43" s="157"/>
      <c r="K43" s="356"/>
    </row>
    <row r="44" spans="3:11" ht="15">
      <c r="C44" s="159" t="s">
        <v>217</v>
      </c>
      <c r="D44" s="154">
        <f>D38</f>
        <v>10700.0</v>
      </c>
      <c r="E44" s="186"/>
      <c r="F44" s="186"/>
      <c r="G44" s="154">
        <f>G38</f>
        <v>5280.0</v>
      </c>
      <c r="H44" s="154">
        <f t="shared" si="7" ref="H44:J44">H38</f>
        <v>5428.0</v>
      </c>
      <c r="I44" s="154">
        <f t="shared" si="7"/>
        <v>5434.0</v>
      </c>
      <c r="J44" s="154">
        <f t="shared" si="7"/>
        <v>5544.0</v>
      </c>
      <c r="K44" s="356"/>
    </row>
    <row r="45" spans="3:11" ht="15">
      <c r="C45" s="159" t="s">
        <v>208</v>
      </c>
      <c r="D45" s="154">
        <f>+D44-D29</f>
        <v>10700.0</v>
      </c>
      <c r="E45" s="154"/>
      <c r="F45" s="154"/>
      <c r="G45" s="154">
        <f>+G44-G29</f>
        <v>4874.0</v>
      </c>
      <c r="H45" s="154">
        <f>+H44-H29</f>
        <v>4421.0</v>
      </c>
      <c r="I45" s="154">
        <f t="shared" si="8" ref="I45:J45">+I44-I29</f>
        <v>3639.0</v>
      </c>
      <c r="J45" s="154">
        <f t="shared" si="8"/>
        <v>2490.0</v>
      </c>
      <c r="K45" s="356"/>
    </row>
    <row r="46" spans="4:10" ht="15">
      <c r="D46" s="154"/>
      <c r="E46" s="51"/>
      <c r="J46" s="154"/>
    </row>
    <row r="47" spans="3:10" ht="15">
      <c r="C47" t="s">
        <v>223</v>
      </c>
      <c r="D47" s="222">
        <v>10797.0</v>
      </c>
      <c r="E47" s="186"/>
      <c r="F47" s="186"/>
      <c r="G47" s="222">
        <v>10799.0</v>
      </c>
      <c r="H47" s="222">
        <v>10795.0</v>
      </c>
      <c r="I47" s="222">
        <v>10739.0</v>
      </c>
      <c r="J47" s="222">
        <v>10709.0</v>
      </c>
    </row>
    <row r="48" spans="3:10" ht="15">
      <c r="C48" t="s">
        <v>220</v>
      </c>
      <c r="D48" s="222">
        <v>84472.0</v>
      </c>
      <c r="E48" s="186"/>
      <c r="F48" s="186"/>
      <c r="G48" s="222">
        <v>84842.0</v>
      </c>
      <c r="H48" s="222">
        <v>85509.0</v>
      </c>
      <c r="I48" s="222">
        <v>86661.0</v>
      </c>
      <c r="J48" s="222">
        <v>89462.0</v>
      </c>
    </row>
    <row r="49" spans="3:10" ht="15">
      <c r="C49" t="s">
        <v>224</v>
      </c>
      <c r="D49" s="154">
        <f>D47+D48</f>
        <v>95269.0</v>
      </c>
      <c r="E49" s="154"/>
      <c r="F49" s="154"/>
      <c r="G49" s="154">
        <f t="shared" si="9" ref="G49:J49">G47+G48</f>
        <v>95641.0</v>
      </c>
      <c r="H49" s="154">
        <f t="shared" si="9"/>
        <v>96304.0</v>
      </c>
      <c r="I49" s="154">
        <f t="shared" si="9"/>
        <v>97400.0</v>
      </c>
      <c r="J49" s="154">
        <f t="shared" si="9"/>
        <v>100171.0</v>
      </c>
    </row>
    <row r="50" spans="3:10" ht="15">
      <c r="C50" s="99" t="s">
        <v>235</v>
      </c>
      <c r="D50" s="166">
        <f>D22+D33+D49</f>
        <v>732110.0</v>
      </c>
      <c r="E50" s="102"/>
      <c r="F50" s="452"/>
      <c r="G50" s="166">
        <f t="shared" si="10" ref="G50:J50">G22+G33+G49</f>
        <v>729057.0</v>
      </c>
      <c r="H50" s="166">
        <f t="shared" si="10"/>
        <v>741399.0</v>
      </c>
      <c r="I50" s="166">
        <f t="shared" si="10"/>
        <v>759001.0</v>
      </c>
      <c r="J50" s="168">
        <f t="shared" si="10"/>
        <v>785265.0</v>
      </c>
    </row>
    <row r="51" spans="3:10" ht="15">
      <c r="C51" s="375" t="s">
        <v>234</v>
      </c>
      <c r="D51" s="376">
        <f>D42-D50</f>
        <v>-2.0</v>
      </c>
      <c r="E51" s="376"/>
      <c r="F51" s="376"/>
      <c r="G51" s="376">
        <f t="shared" si="11" ref="G51:J51">G42-G50</f>
        <v>-2.0</v>
      </c>
      <c r="H51" s="376">
        <f t="shared" si="11"/>
        <v>-1.0</v>
      </c>
      <c r="I51" s="376">
        <f t="shared" si="11"/>
        <v>0.0</v>
      </c>
      <c r="J51" s="376">
        <f t="shared" si="11"/>
        <v>0.0</v>
      </c>
    </row>
    <row r="52" spans="4:10" ht="15">
      <c r="D52" s="154"/>
      <c r="E52" s="51"/>
      <c r="J52" s="154"/>
    </row>
    <row r="53" spans="3:10" ht="15">
      <c r="C53" s="99" t="s">
        <v>272</v>
      </c>
      <c r="D53" s="377">
        <f>D39/(D22+D27)</f>
        <v>0.9340311223517413</v>
      </c>
      <c r="E53" s="377"/>
      <c r="F53" s="453"/>
      <c r="G53" s="377">
        <f t="shared" si="12" ref="G53:J53">G39/(G22+G27)</f>
        <v>0.9537655767117568</v>
      </c>
      <c r="H53" s="377">
        <f t="shared" si="12"/>
        <v>0.9859295041270467</v>
      </c>
      <c r="I53" s="377">
        <f t="shared" si="12"/>
        <v>0.9833115483802592</v>
      </c>
      <c r="J53" s="454">
        <f t="shared" si="12"/>
        <v>0.9434208006761441</v>
      </c>
    </row>
    <row r="54" spans="4:10" ht="15">
      <c r="D54" s="154"/>
      <c r="E54" s="51"/>
      <c r="J54" s="154"/>
    </row>
    <row r="55" spans="4:10" ht="15">
      <c r="D55" s="154"/>
      <c r="E55" s="51"/>
      <c r="J55" s="154"/>
    </row>
    <row r="56" spans="4:10" ht="15">
      <c r="D56" s="154"/>
      <c r="E56" s="51"/>
      <c r="J56" s="154"/>
    </row>
    <row r="57" spans="4:10" ht="15" thickBot="1">
      <c r="D57" s="154"/>
      <c r="E57" s="51"/>
      <c r="J57" s="154"/>
    </row>
  </sheetData>
  <mergeCells count="3">
    <mergeCell ref="B1:J1"/>
    <mergeCell ref="B2:J2"/>
    <mergeCell ref="B3:J3"/>
  </mergeCells>
  <printOptions horizontalCentered="1"/>
  <pageMargins left="0.5" right="0.5" top="0.75" bottom="0.75" header="0.3" footer="0.3"/>
  <pageSetup orientation="portrait" scale="84" r:id="rId2"/>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mc:Ignorable="x14ac" xr:uid="{01395bcc-b1c6-43f2-90ab-01b5773295df}">
  <sheetPr codeName="Sheet5">
    <tabColor rgb="FF00CC66"/>
    <pageSetUpPr fitToPage="1"/>
  </sheetPr>
  <dimension ref="B1:P103"/>
  <sheetViews>
    <sheetView zoomScale="85" zoomScaleNormal="85" workbookViewId="0" topLeftCell="A1">
      <selection pane="topLeft" activeCell="B1" sqref="B1:M1"/>
    </sheetView>
  </sheetViews>
  <sheetFormatPr defaultRowHeight="15"/>
  <cols>
    <col min="1" max="1" width="15.625" customWidth="1"/>
    <col min="2" max="2" width="33.875" style="56" customWidth="1"/>
    <col min="3" max="3" width="7.75" style="56" customWidth="1"/>
    <col min="4" max="4" width="6.75" style="57" customWidth="1"/>
    <col min="5" max="5" width="7.75" style="59" customWidth="1"/>
    <col min="6" max="6" width="6.75" style="60" customWidth="1"/>
    <col min="7" max="7" width="7.75" style="59" customWidth="1"/>
    <col min="8" max="8" width="6.75" style="60" customWidth="1"/>
    <col min="9" max="9" width="7.75" style="59" customWidth="1"/>
    <col min="10" max="10" width="6.75" style="60" customWidth="1"/>
    <col min="11" max="11" width="9.75" style="56" customWidth="1"/>
    <col min="12" max="12" width="6.75" style="61" customWidth="1"/>
    <col min="13" max="13" width="3.125" style="58" customWidth="1"/>
    <col min="15" max="15" width="11.625" bestFit="1" customWidth="1"/>
  </cols>
  <sheetData>
    <row r="1" spans="2:13" ht="21">
      <c r="B1" s="512" t="str">
        <f>Description!B4</f>
        <v>Sample Bank</v>
      </c>
      <c r="C1" s="513"/>
      <c r="D1" s="513"/>
      <c r="E1" s="513"/>
      <c r="F1" s="513"/>
      <c r="G1" s="513"/>
      <c r="H1" s="513"/>
      <c r="I1" s="513"/>
      <c r="J1" s="513"/>
      <c r="K1" s="513"/>
      <c r="L1" s="513"/>
      <c r="M1" s="514"/>
    </row>
    <row r="2" spans="2:13" ht="21">
      <c r="B2" s="515" t="s">
        <v>170</v>
      </c>
      <c r="C2" s="516"/>
      <c r="D2" s="516"/>
      <c r="E2" s="516"/>
      <c r="F2" s="516"/>
      <c r="G2" s="516"/>
      <c r="H2" s="516"/>
      <c r="I2" s="516"/>
      <c r="J2" s="516"/>
      <c r="K2" s="516"/>
      <c r="L2" s="516"/>
      <c r="M2" s="517"/>
    </row>
    <row r="3" spans="2:13" ht="16.5" thickBot="1">
      <c r="B3" s="518">
        <f>Description!B2</f>
        <v>43830.0</v>
      </c>
      <c r="C3" s="519"/>
      <c r="D3" s="519"/>
      <c r="E3" s="519"/>
      <c r="F3" s="519"/>
      <c r="G3" s="519"/>
      <c r="H3" s="519"/>
      <c r="I3" s="519"/>
      <c r="J3" s="519"/>
      <c r="K3" s="519"/>
      <c r="L3" s="519"/>
      <c r="M3" s="520"/>
    </row>
    <row r="4" spans="2:13" ht="21">
      <c r="B4" s="236"/>
      <c r="J4" s="235"/>
      <c r="K4" s="235"/>
      <c r="L4" s="235"/>
      <c r="M4" s="235"/>
    </row>
    <row r="5" spans="2:13" s="27" customFormat="1" ht="18" customHeight="1">
      <c r="B5" s="233" t="s">
        <v>166</v>
      </c>
      <c r="D5" s="63"/>
      <c r="E5" s="65"/>
      <c r="F5" s="66"/>
      <c r="G5" s="65"/>
      <c r="H5" s="66"/>
      <c r="I5" s="65"/>
      <c r="J5" s="66"/>
      <c r="K5" s="62"/>
      <c r="L5" s="67"/>
      <c r="M5" s="64"/>
    </row>
    <row r="6" spans="2:16" s="39" customFormat="1" ht="14.25" customHeight="1">
      <c r="B6" s="68"/>
      <c r="C6" s="242" t="str">
        <f>+' 2 - Sources &amp; Uses'!G5</f>
        <v>30 days</v>
      </c>
      <c r="D6" s="365"/>
      <c r="E6" s="242" t="str">
        <f>+' 2 - Sources &amp; Uses'!H5</f>
        <v>90 days</v>
      </c>
      <c r="F6" s="365"/>
      <c r="G6" s="242" t="str">
        <f>+' 2 - Sources &amp; Uses'!I5</f>
        <v>4-6 Months</v>
      </c>
      <c r="H6" s="365"/>
      <c r="I6" s="242" t="str">
        <f>+' 2 - Sources &amp; Uses'!J5</f>
        <v>7-12 Months</v>
      </c>
      <c r="J6" s="365"/>
      <c r="K6" s="242" t="s">
        <v>50</v>
      </c>
      <c r="L6" s="69"/>
      <c r="M6" s="366"/>
      <c r="O6" s="28">
        <f>+' 2 - Sources &amp; Uses'!F7</f>
        <v>732108.0</v>
      </c>
      <c r="P6" s="39" t="s">
        <v>140</v>
      </c>
    </row>
    <row r="7" spans="2:13" ht="21" customHeight="1">
      <c r="B7" s="70" t="s">
        <v>47</v>
      </c>
      <c r="C7" s="71"/>
      <c r="D7" s="72"/>
      <c r="E7" s="71"/>
      <c r="F7" s="73"/>
      <c r="G7" s="71"/>
      <c r="H7" s="73"/>
      <c r="I7" s="71"/>
      <c r="J7" s="73"/>
      <c r="K7" s="74"/>
      <c r="L7" s="75"/>
      <c r="M7" s="76"/>
    </row>
    <row r="8" spans="2:13" ht="14.25" customHeight="1">
      <c r="B8" s="237" t="s">
        <v>236</v>
      </c>
      <c r="C8" s="243">
        <v>3230.0</v>
      </c>
      <c r="D8" s="244">
        <f>+C8/$O$6</f>
        <v>0.004411917367382954</v>
      </c>
      <c r="E8" s="243">
        <v>14727.0</v>
      </c>
      <c r="F8" s="244">
        <f t="shared" si="0" ref="F8:F13">+E8/$O$6</f>
        <v>0.020115884541625006</v>
      </c>
      <c r="G8" s="243">
        <v>27524.0</v>
      </c>
      <c r="H8" s="244">
        <f t="shared" si="1" ref="H8:H13">+G8/$O$6</f>
        <v>0.03759554601233698</v>
      </c>
      <c r="I8" s="243">
        <v>8443.0</v>
      </c>
      <c r="J8" s="244">
        <f t="shared" si="2" ref="J8:J13">+I8/$O$6</f>
        <v>0.011532451496227333</v>
      </c>
      <c r="K8" s="246">
        <f>+I8+G8+E8+C8</f>
        <v>53924.0</v>
      </c>
      <c r="L8" s="244">
        <f>+K8/$O$6</f>
        <v>0.07365579941757228</v>
      </c>
      <c r="M8" s="80"/>
    </row>
    <row r="9" spans="2:13" ht="14.25" customHeight="1">
      <c r="B9" s="237" t="s">
        <v>56</v>
      </c>
      <c r="C9" s="243">
        <v>3323.0</v>
      </c>
      <c r="D9" s="244">
        <f t="shared" si="3" ref="D9">+C9/$O$6</f>
        <v>0.004538947805515033</v>
      </c>
      <c r="E9" s="243">
        <v>3003.0</v>
      </c>
      <c r="F9" s="244">
        <f t="shared" si="4" ref="F9">+E9/$O$6</f>
        <v>0.004101853824845515</v>
      </c>
      <c r="G9" s="243">
        <v>2613.0</v>
      </c>
      <c r="H9" s="244">
        <f t="shared" si="5" ref="H9">+G9/$O$6</f>
        <v>0.0035691455359045388</v>
      </c>
      <c r="I9" s="243">
        <v>988.0</v>
      </c>
      <c r="J9" s="244">
        <f t="shared" si="6" ref="J9">+I9/$O$6</f>
        <v>0.001349527665317139</v>
      </c>
      <c r="K9" s="246">
        <f>+I9+G9+E9+C9</f>
        <v>9927.0</v>
      </c>
      <c r="L9" s="244">
        <f t="shared" si="7" ref="L9">+K9/$O$6</f>
        <v>0.013559474831582225</v>
      </c>
      <c r="M9" s="80"/>
    </row>
    <row r="10" spans="2:13" ht="14.25" customHeight="1">
      <c r="B10" s="237" t="s">
        <v>57</v>
      </c>
      <c r="C10" s="243"/>
      <c r="D10" s="244">
        <f t="shared" si="8" ref="D10:D13">+C10/$O$6</f>
        <v>0.0</v>
      </c>
      <c r="E10" s="243"/>
      <c r="F10" s="244">
        <f t="shared" si="0"/>
        <v>0.0</v>
      </c>
      <c r="G10" s="243"/>
      <c r="H10" s="244">
        <f t="shared" si="1"/>
        <v>0.0</v>
      </c>
      <c r="I10" s="243"/>
      <c r="J10" s="244">
        <f t="shared" si="2"/>
        <v>0.0</v>
      </c>
      <c r="K10" s="246">
        <f t="shared" si="9" ref="K10:K13">+I10+G10+E10+C10</f>
        <v>0.0</v>
      </c>
      <c r="L10" s="244">
        <f t="shared" si="10" ref="L10:L13">+K10/$O$6</f>
        <v>0.0</v>
      </c>
      <c r="M10" s="80"/>
    </row>
    <row r="11" spans="2:13" ht="14.25" customHeight="1">
      <c r="B11" s="237" t="s">
        <v>55</v>
      </c>
      <c r="C11" s="243"/>
      <c r="D11" s="244">
        <f t="shared" si="8"/>
        <v>0.0</v>
      </c>
      <c r="E11" s="243"/>
      <c r="F11" s="244">
        <f t="shared" si="0"/>
        <v>0.0</v>
      </c>
      <c r="G11" s="243"/>
      <c r="H11" s="244">
        <f t="shared" si="1"/>
        <v>0.0</v>
      </c>
      <c r="I11" s="243"/>
      <c r="J11" s="244">
        <f t="shared" si="2"/>
        <v>0.0</v>
      </c>
      <c r="K11" s="246">
        <f t="shared" si="9"/>
        <v>0.0</v>
      </c>
      <c r="L11" s="244">
        <f t="shared" si="10"/>
        <v>0.0</v>
      </c>
      <c r="M11" s="80"/>
    </row>
    <row r="12" spans="2:13" ht="14.25" customHeight="1">
      <c r="B12" s="237" t="s">
        <v>54</v>
      </c>
      <c r="C12" s="243"/>
      <c r="D12" s="244">
        <f t="shared" si="8"/>
        <v>0.0</v>
      </c>
      <c r="E12" s="243"/>
      <c r="F12" s="244">
        <f t="shared" si="0"/>
        <v>0.0</v>
      </c>
      <c r="G12" s="243"/>
      <c r="H12" s="244">
        <f t="shared" si="1"/>
        <v>0.0</v>
      </c>
      <c r="I12" s="243"/>
      <c r="J12" s="244">
        <f t="shared" si="2"/>
        <v>0.0</v>
      </c>
      <c r="K12" s="246">
        <f t="shared" si="9"/>
        <v>0.0</v>
      </c>
      <c r="L12" s="244">
        <f t="shared" si="10"/>
        <v>0.0</v>
      </c>
      <c r="M12" s="80"/>
    </row>
    <row r="13" spans="2:13" ht="14.25" customHeight="1">
      <c r="B13" s="237" t="s">
        <v>161</v>
      </c>
      <c r="C13" s="243">
        <v>2094.0</v>
      </c>
      <c r="D13" s="244">
        <f t="shared" si="8"/>
        <v>0.002860233736006163</v>
      </c>
      <c r="E13" s="243">
        <v>2580.0</v>
      </c>
      <c r="F13" s="244">
        <f t="shared" si="0"/>
        <v>0.0035240702191479947</v>
      </c>
      <c r="G13" s="243">
        <v>2628.0</v>
      </c>
      <c r="H13" s="244">
        <f t="shared" si="1"/>
        <v>0.0035896343162484224</v>
      </c>
      <c r="I13" s="243">
        <v>4785.0</v>
      </c>
      <c r="J13" s="244">
        <f t="shared" si="2"/>
        <v>0.006535920929698897</v>
      </c>
      <c r="K13" s="246">
        <f t="shared" si="9"/>
        <v>12087.0</v>
      </c>
      <c r="L13" s="244">
        <f t="shared" si="10"/>
        <v>0.016509859201101477</v>
      </c>
      <c r="M13" s="80"/>
    </row>
    <row r="14" spans="2:13" ht="14.25" customHeight="1" thickBot="1">
      <c r="B14" s="238" t="s">
        <v>58</v>
      </c>
      <c r="C14" s="247"/>
      <c r="D14" s="245">
        <f t="shared" si="11" ref="D14">+C14/$O$6</f>
        <v>0.0</v>
      </c>
      <c r="E14" s="247"/>
      <c r="F14" s="245">
        <f t="shared" si="12" ref="F14">+E14/$O$6</f>
        <v>0.0</v>
      </c>
      <c r="G14" s="247"/>
      <c r="H14" s="245">
        <f t="shared" si="13" ref="H14">+G14/$O$6</f>
        <v>0.0</v>
      </c>
      <c r="I14" s="247"/>
      <c r="J14" s="245">
        <f t="shared" si="14" ref="J14">+I14/$O$6</f>
        <v>0.0</v>
      </c>
      <c r="K14" s="362">
        <f t="shared" si="15" ref="K14">+I14+G14+E14+C14</f>
        <v>0.0</v>
      </c>
      <c r="L14" s="245">
        <f t="shared" si="16" ref="L14">+K14/$O$6</f>
        <v>0.0</v>
      </c>
      <c r="M14" s="81"/>
    </row>
    <row r="15" spans="2:13" ht="14.25" customHeight="1">
      <c r="B15" s="237" t="s">
        <v>48</v>
      </c>
      <c r="C15" s="246">
        <f>SUM(C8:C14)</f>
        <v>8647.0</v>
      </c>
      <c r="D15" s="244">
        <f>+C15/$O$6</f>
        <v>0.01181109890890415</v>
      </c>
      <c r="E15" s="246">
        <f>SUM(E8:E14)</f>
        <v>20310.0</v>
      </c>
      <c r="F15" s="244">
        <f>+E15/$O$6</f>
        <v>0.027741808585618515</v>
      </c>
      <c r="G15" s="246">
        <f>SUM(G8:G14)</f>
        <v>32765.0</v>
      </c>
      <c r="H15" s="244">
        <f>+G15/$O$6</f>
        <v>0.044754325864489936</v>
      </c>
      <c r="I15" s="246">
        <f>SUM(I8:I14)</f>
        <v>14216.0</v>
      </c>
      <c r="J15" s="244">
        <f>+I15/$O$6</f>
        <v>0.01941790009124337</v>
      </c>
      <c r="K15" s="246">
        <f>SUM(K8:K14)</f>
        <v>75938.0</v>
      </c>
      <c r="L15" s="244">
        <f>+K15/$O$6</f>
        <v>0.10372513345025597</v>
      </c>
      <c r="M15" s="80"/>
    </row>
    <row r="16" spans="2:13" ht="14.25" customHeight="1">
      <c r="B16" s="77"/>
      <c r="C16" s="246"/>
      <c r="D16" s="244"/>
      <c r="E16" s="246"/>
      <c r="F16" s="244"/>
      <c r="G16" s="246"/>
      <c r="H16" s="244"/>
      <c r="I16" s="246"/>
      <c r="J16" s="244"/>
      <c r="K16" s="246"/>
      <c r="L16" s="244"/>
      <c r="M16" s="80"/>
    </row>
    <row r="17" spans="2:13" ht="14.25" customHeight="1">
      <c r="B17" s="239" t="s">
        <v>53</v>
      </c>
      <c r="C17" s="246"/>
      <c r="D17" s="244"/>
      <c r="E17" s="246"/>
      <c r="F17" s="244"/>
      <c r="G17" s="246"/>
      <c r="H17" s="244"/>
      <c r="I17" s="246"/>
      <c r="J17" s="244"/>
      <c r="K17" s="246"/>
      <c r="L17" s="244"/>
      <c r="M17" s="80"/>
    </row>
    <row r="18" spans="2:13" ht="14.25" customHeight="1">
      <c r="B18" s="237" t="s">
        <v>52</v>
      </c>
      <c r="C18" s="243">
        <v>5326.0</v>
      </c>
      <c r="D18" s="244">
        <f>+C18/$O$6</f>
        <v>0.007274882940768302</v>
      </c>
      <c r="E18" s="243">
        <v>0.0</v>
      </c>
      <c r="F18" s="244">
        <f>+E18/$O$6</f>
        <v>0.0</v>
      </c>
      <c r="G18" s="243">
        <v>0.0</v>
      </c>
      <c r="H18" s="244">
        <f>+G18/$O$6</f>
        <v>0.0</v>
      </c>
      <c r="I18" s="243">
        <v>0.0</v>
      </c>
      <c r="J18" s="244">
        <f>+I18/$O$6</f>
        <v>0.0</v>
      </c>
      <c r="K18" s="246">
        <f>+I18+G18+E18+C18</f>
        <v>5326.0</v>
      </c>
      <c r="L18" s="244">
        <f>+K18/$O$6</f>
        <v>0.007274882940768302</v>
      </c>
      <c r="M18" s="80"/>
    </row>
    <row r="19" spans="2:13" ht="14.25" customHeight="1" thickBot="1">
      <c r="B19" s="238" t="s">
        <v>51</v>
      </c>
      <c r="C19" s="247">
        <v>6174.0</v>
      </c>
      <c r="D19" s="245">
        <f>+C19/$O$6</f>
        <v>0.008433181989542526</v>
      </c>
      <c r="E19" s="247">
        <v>9377.0</v>
      </c>
      <c r="F19" s="245">
        <f>+E19/$O$6</f>
        <v>0.01280821955230649</v>
      </c>
      <c r="G19" s="247">
        <v>5225.0</v>
      </c>
      <c r="H19" s="245">
        <f>+G19/$O$6</f>
        <v>0.0071369251531194855</v>
      </c>
      <c r="I19" s="247">
        <v>10265.0</v>
      </c>
      <c r="J19" s="245">
        <f>+I19/$O$6</f>
        <v>0.014021155348664405</v>
      </c>
      <c r="K19" s="362">
        <f t="shared" si="17" ref="K19">+I19+G19+E19+C19</f>
        <v>31041.0</v>
      </c>
      <c r="L19" s="245">
        <f>+K19/$O$6</f>
        <v>0.042399482043632905</v>
      </c>
      <c r="M19" s="81"/>
    </row>
    <row r="20" spans="2:13" ht="14.25" customHeight="1">
      <c r="B20" s="237" t="s">
        <v>139</v>
      </c>
      <c r="C20" s="246">
        <f>SUM(C18:C19)</f>
        <v>11500.0</v>
      </c>
      <c r="D20" s="244">
        <f>+C20/$O$6</f>
        <v>0.01570806493031083</v>
      </c>
      <c r="E20" s="246">
        <f>SUM(E18:E19)</f>
        <v>9377.0</v>
      </c>
      <c r="F20" s="244">
        <f>+E20/$O$6</f>
        <v>0.01280821955230649</v>
      </c>
      <c r="G20" s="246">
        <f>SUM(G18:G19)</f>
        <v>5225.0</v>
      </c>
      <c r="H20" s="244">
        <f>+G20/$O$6</f>
        <v>0.0071369251531194855</v>
      </c>
      <c r="I20" s="246">
        <f>SUM(I18:I19)</f>
        <v>10265.0</v>
      </c>
      <c r="J20" s="244">
        <f>+I20/$O$6</f>
        <v>0.014021155348664405</v>
      </c>
      <c r="K20" s="246">
        <f>SUM(K18:K19)</f>
        <v>36367.0</v>
      </c>
      <c r="L20" s="244">
        <f>+K20/$O$6</f>
        <v>0.04967436498440121</v>
      </c>
      <c r="M20" s="80"/>
    </row>
    <row r="21" spans="2:13" ht="14.25" customHeight="1">
      <c r="B21" s="82"/>
      <c r="C21" s="78"/>
      <c r="D21" s="79"/>
      <c r="E21" s="78"/>
      <c r="F21" s="79"/>
      <c r="G21" s="78"/>
      <c r="H21" s="79"/>
      <c r="I21" s="78"/>
      <c r="J21" s="79"/>
      <c r="K21" s="78"/>
      <c r="L21" s="79"/>
      <c r="M21" s="363"/>
    </row>
    <row r="22" spans="2:13" ht="20.25" customHeight="1">
      <c r="B22" s="239" t="s">
        <v>83</v>
      </c>
      <c r="C22" s="78"/>
      <c r="D22" s="79"/>
      <c r="E22" s="78"/>
      <c r="F22" s="79"/>
      <c r="G22" s="78"/>
      <c r="H22" s="79"/>
      <c r="I22" s="78"/>
      <c r="J22" s="79"/>
      <c r="K22" s="78"/>
      <c r="L22" s="79"/>
      <c r="M22" s="363"/>
    </row>
    <row r="23" spans="2:13" s="39" customFormat="1" ht="14.25" customHeight="1">
      <c r="B23" s="68"/>
      <c r="C23" s="242" t="str">
        <f>+C6</f>
        <v>30 days</v>
      </c>
      <c r="D23" s="365"/>
      <c r="E23" s="242" t="str">
        <f>+E6</f>
        <v>90 days</v>
      </c>
      <c r="F23" s="365"/>
      <c r="G23" s="242" t="str">
        <f>+G6</f>
        <v>4-6 Months</v>
      </c>
      <c r="H23" s="365"/>
      <c r="I23" s="242" t="str">
        <f>+I6</f>
        <v>7-12 Months</v>
      </c>
      <c r="J23" s="365"/>
      <c r="K23" s="242" t="s">
        <v>50</v>
      </c>
      <c r="L23" s="69"/>
      <c r="M23" s="366"/>
    </row>
    <row r="24" spans="2:13" s="39" customFormat="1" ht="14.25" customHeight="1">
      <c r="B24" s="83"/>
      <c r="C24" s="84"/>
      <c r="D24" s="79"/>
      <c r="E24" s="84"/>
      <c r="F24" s="79"/>
      <c r="G24" s="84"/>
      <c r="H24" s="79"/>
      <c r="I24" s="84"/>
      <c r="J24" s="79"/>
      <c r="K24" s="84"/>
      <c r="L24" s="79"/>
      <c r="M24" s="80"/>
    </row>
    <row r="25" spans="2:13" ht="14.25" customHeight="1">
      <c r="B25" s="239" t="s">
        <v>49</v>
      </c>
      <c r="C25" s="78"/>
      <c r="D25" s="79"/>
      <c r="E25" s="78"/>
      <c r="F25" s="79"/>
      <c r="G25" s="78"/>
      <c r="H25" s="79"/>
      <c r="I25" s="78"/>
      <c r="J25" s="79"/>
      <c r="K25" s="78"/>
      <c r="L25" s="79"/>
      <c r="M25" s="363"/>
    </row>
    <row r="26" spans="2:13" ht="14.25" customHeight="1">
      <c r="B26" s="237" t="s">
        <v>48</v>
      </c>
      <c r="C26" s="246">
        <f>+C15</f>
        <v>8647.0</v>
      </c>
      <c r="D26" s="244">
        <f>+C26/$O$6</f>
        <v>0.01181109890890415</v>
      </c>
      <c r="E26" s="246">
        <f>+E15</f>
        <v>20310.0</v>
      </c>
      <c r="F26" s="244">
        <f>+E26/$O$6</f>
        <v>0.027741808585618515</v>
      </c>
      <c r="G26" s="246">
        <f>+G15</f>
        <v>32765.0</v>
      </c>
      <c r="H26" s="244">
        <f>+G26/$O$6</f>
        <v>0.044754325864489936</v>
      </c>
      <c r="I26" s="246">
        <f>+I15</f>
        <v>14216.0</v>
      </c>
      <c r="J26" s="244">
        <f>+I26/$O$6</f>
        <v>0.01941790009124337</v>
      </c>
      <c r="K26" s="246">
        <f>+K15</f>
        <v>75938.0</v>
      </c>
      <c r="L26" s="244">
        <f>+K26/$O$6</f>
        <v>0.10372513345025597</v>
      </c>
      <c r="M26" s="80"/>
    </row>
    <row r="27" spans="2:13" ht="14.25" customHeight="1">
      <c r="B27" s="240" t="s">
        <v>139</v>
      </c>
      <c r="C27" s="246">
        <f>+C20</f>
        <v>11500.0</v>
      </c>
      <c r="D27" s="244">
        <f>+C27/$O$6</f>
        <v>0.01570806493031083</v>
      </c>
      <c r="E27" s="246">
        <f>+E20</f>
        <v>9377.0</v>
      </c>
      <c r="F27" s="244">
        <f>+E27/$O$6</f>
        <v>0.01280821955230649</v>
      </c>
      <c r="G27" s="246">
        <f>+G20</f>
        <v>5225.0</v>
      </c>
      <c r="H27" s="244">
        <f>+G27/$O$6</f>
        <v>0.0071369251531194855</v>
      </c>
      <c r="I27" s="246">
        <f>+I20</f>
        <v>10265.0</v>
      </c>
      <c r="J27" s="244">
        <f>+I27/$O$6</f>
        <v>0.014021155348664405</v>
      </c>
      <c r="K27" s="246">
        <f>+K20</f>
        <v>36367.0</v>
      </c>
      <c r="L27" s="244">
        <f>+K27/$O$6</f>
        <v>0.04967436498440121</v>
      </c>
      <c r="M27" s="363"/>
    </row>
    <row r="28" spans="2:13" s="31" customFormat="1" ht="14.25" customHeight="1">
      <c r="B28" s="367" t="s">
        <v>46</v>
      </c>
      <c r="C28" s="248">
        <f>+C27-C26</f>
        <v>2853.0</v>
      </c>
      <c r="D28" s="249">
        <f>+C28/$O$6</f>
        <v>0.0038969660214066776</v>
      </c>
      <c r="E28" s="248">
        <f>+E27-E26</f>
        <v>-10933.0</v>
      </c>
      <c r="F28" s="249">
        <f>+E28/$O$6</f>
        <v>-0.014933589033312026</v>
      </c>
      <c r="G28" s="248">
        <f>+G27-G26</f>
        <v>-27540.0</v>
      </c>
      <c r="H28" s="249">
        <f>+G28/$O$6</f>
        <v>-0.03761740071137045</v>
      </c>
      <c r="I28" s="248">
        <f>+I27-I26</f>
        <v>-3951.0</v>
      </c>
      <c r="J28" s="249">
        <f>+I28/$O$6</f>
        <v>-0.005396744742578964</v>
      </c>
      <c r="K28" s="248">
        <f>+K27-K26</f>
        <v>-39571.0</v>
      </c>
      <c r="L28" s="249">
        <f>+K28/$O$6</f>
        <v>-0.054050768465854764</v>
      </c>
      <c r="M28" s="183"/>
    </row>
    <row r="29" spans="2:13" s="31" customFormat="1" ht="14.25" customHeight="1">
      <c r="B29" s="368" t="s">
        <v>45</v>
      </c>
      <c r="C29" s="250"/>
      <c r="D29" s="251"/>
      <c r="E29" s="250">
        <f>+E28+C28</f>
        <v>-8080.0</v>
      </c>
      <c r="F29" s="251">
        <f>+E29/$O$6</f>
        <v>-0.011036623011905347</v>
      </c>
      <c r="G29" s="250">
        <f>+G28+E29</f>
        <v>-35620.0</v>
      </c>
      <c r="H29" s="251">
        <f>+G29/$O$6</f>
        <v>-0.0486540237232758</v>
      </c>
      <c r="I29" s="250">
        <f>+I28+G29</f>
        <v>-39571.0</v>
      </c>
      <c r="J29" s="251">
        <f>+I29/$O$6</f>
        <v>-0.054050768465854764</v>
      </c>
      <c r="K29" s="250"/>
      <c r="L29" s="251"/>
      <c r="M29" s="184"/>
    </row>
    <row r="30" spans="2:13" ht="15">
      <c r="B30" s="82"/>
      <c r="C30" s="108"/>
      <c r="D30" s="79"/>
      <c r="E30" s="108"/>
      <c r="F30" s="79"/>
      <c r="G30" s="108"/>
      <c r="H30" s="79"/>
      <c r="I30" s="108"/>
      <c r="J30" s="79"/>
      <c r="K30" s="108"/>
      <c r="L30" s="79"/>
      <c r="M30" s="363"/>
    </row>
    <row r="31" spans="2:13" ht="18.75">
      <c r="B31" s="239" t="s">
        <v>133</v>
      </c>
      <c r="C31" s="78"/>
      <c r="D31" s="79"/>
      <c r="E31" s="78"/>
      <c r="F31" s="79"/>
      <c r="G31" s="78"/>
      <c r="H31" s="79"/>
      <c r="I31" s="78"/>
      <c r="J31" s="79"/>
      <c r="K31" s="78"/>
      <c r="L31" s="79"/>
      <c r="M31" s="363"/>
    </row>
    <row r="32" spans="2:13" ht="15">
      <c r="B32" s="68"/>
      <c r="C32" s="242" t="str">
        <f>+C23</f>
        <v>30 days</v>
      </c>
      <c r="D32" s="242"/>
      <c r="E32" s="242" t="str">
        <f>+E23</f>
        <v>90 days</v>
      </c>
      <c r="F32" s="242"/>
      <c r="G32" s="242" t="str">
        <f>+G23</f>
        <v>4-6 Months</v>
      </c>
      <c r="H32" s="242"/>
      <c r="I32" s="242" t="str">
        <f>+I23</f>
        <v>7-12 Months</v>
      </c>
      <c r="J32" s="242"/>
      <c r="K32" s="242" t="str">
        <f>+K23</f>
        <v>First yr</v>
      </c>
      <c r="L32" s="69"/>
      <c r="M32" s="366"/>
    </row>
    <row r="33" spans="2:13" ht="15">
      <c r="B33" s="240" t="s">
        <v>237</v>
      </c>
      <c r="C33" s="243">
        <v>-7.0</v>
      </c>
      <c r="D33" s="244">
        <f>+C33/$O$6</f>
        <v>-9.561430827145722E-6</v>
      </c>
      <c r="E33" s="243">
        <v>-778.0</v>
      </c>
      <c r="F33" s="244">
        <f>+E33/$O$6</f>
        <v>-0.0010626847405027673</v>
      </c>
      <c r="G33" s="243">
        <v>-1353.0</v>
      </c>
      <c r="H33" s="244">
        <f>+G33/$O$6</f>
        <v>-0.0018480879870183089</v>
      </c>
      <c r="I33" s="243">
        <v>-3288.0</v>
      </c>
      <c r="J33" s="244">
        <f>+I33/$O$6</f>
        <v>-0.004491140651379305</v>
      </c>
      <c r="K33" s="246">
        <f>+I33+G33+E33+C33</f>
        <v>-5426.0</v>
      </c>
      <c r="L33" s="244">
        <f>+K33/$O$6</f>
        <v>-0.007411474809727527</v>
      </c>
      <c r="M33" s="363"/>
    </row>
    <row r="34" spans="2:13" ht="15">
      <c r="B34" s="240" t="s">
        <v>134</v>
      </c>
      <c r="C34" s="243">
        <v>0.0</v>
      </c>
      <c r="D34" s="244">
        <f>+C34/$O$6</f>
        <v>0.0</v>
      </c>
      <c r="E34" s="243">
        <v>0.0</v>
      </c>
      <c r="F34" s="244">
        <f>+E34/$O$6</f>
        <v>0.0</v>
      </c>
      <c r="G34" s="243">
        <v>0.0</v>
      </c>
      <c r="H34" s="244">
        <f>+G34/$O$6</f>
        <v>0.0</v>
      </c>
      <c r="I34" s="243">
        <v>0.0</v>
      </c>
      <c r="J34" s="244">
        <f>+I34/$O$6</f>
        <v>0.0</v>
      </c>
      <c r="K34" s="246">
        <f t="shared" si="18" ref="K34">+I34+G34+E34+C34</f>
        <v>0.0</v>
      </c>
      <c r="L34" s="244">
        <f>+K34/$O$6</f>
        <v>0.0</v>
      </c>
      <c r="M34" s="363"/>
    </row>
    <row r="35" spans="2:13" ht="15">
      <c r="B35" s="241"/>
      <c r="C35" s="252"/>
      <c r="D35" s="244"/>
      <c r="E35" s="252"/>
      <c r="F35" s="253"/>
      <c r="G35" s="252"/>
      <c r="H35" s="253"/>
      <c r="I35" s="252"/>
      <c r="J35" s="253"/>
      <c r="K35" s="364"/>
      <c r="L35" s="253"/>
      <c r="M35" s="109"/>
    </row>
    <row r="36" spans="2:13" ht="15">
      <c r="B36" s="240" t="s">
        <v>135</v>
      </c>
      <c r="C36" s="246">
        <f>+C$28+C33-C34</f>
        <v>2846.0</v>
      </c>
      <c r="D36" s="244">
        <f>+C36/$O$6</f>
        <v>0.003887404590579532</v>
      </c>
      <c r="E36" s="246">
        <f>+E$28+E33-E34</f>
        <v>-11711.0</v>
      </c>
      <c r="F36" s="244">
        <f>+E36/$O$6</f>
        <v>-0.015996273773814792</v>
      </c>
      <c r="G36" s="246">
        <f>+G$28+G33-G34</f>
        <v>-28893.0</v>
      </c>
      <c r="H36" s="244">
        <f>+G36/$O$6</f>
        <v>-0.03946548869838876</v>
      </c>
      <c r="I36" s="246">
        <f>+I$28+I33-I34</f>
        <v>-7239.0</v>
      </c>
      <c r="J36" s="244">
        <f>+I36/$O$6</f>
        <v>-0.009887885393958268</v>
      </c>
      <c r="K36" s="246">
        <f>+I36+G36+E36+C36</f>
        <v>-44997.0</v>
      </c>
      <c r="L36" s="244">
        <f>+K36/$O$6</f>
        <v>-0.06146224327558229</v>
      </c>
      <c r="M36" s="363"/>
    </row>
    <row r="37" spans="2:13" ht="15">
      <c r="B37" s="361" t="s">
        <v>232</v>
      </c>
      <c r="C37" s="369"/>
      <c r="D37" s="370"/>
      <c r="E37" s="369">
        <f>C36+E36</f>
        <v>-8865.0</v>
      </c>
      <c r="F37" s="370">
        <f>+E37/$O$6</f>
        <v>-0.01210886918323526</v>
      </c>
      <c r="G37" s="369">
        <f>E37+G36</f>
        <v>-37758.0</v>
      </c>
      <c r="H37" s="370">
        <f>+G37/$O$6</f>
        <v>-0.051574357881624025</v>
      </c>
      <c r="I37" s="369">
        <f>G37+I36</f>
        <v>-44997.0</v>
      </c>
      <c r="J37" s="370">
        <f>+I37/$O$6</f>
        <v>-0.06146224327558229</v>
      </c>
      <c r="K37" s="369"/>
      <c r="L37" s="371"/>
      <c r="M37" s="372"/>
    </row>
    <row r="38" spans="2:12" ht="15">
      <c r="B38" s="58"/>
      <c r="C38" s="71"/>
      <c r="D38" s="72"/>
      <c r="E38" s="71"/>
      <c r="F38" s="73"/>
      <c r="G38" s="71"/>
      <c r="H38" s="73"/>
      <c r="I38" s="71"/>
      <c r="J38" s="73"/>
      <c r="K38" s="74"/>
      <c r="L38" s="75"/>
    </row>
    <row r="39" spans="2:12" ht="15">
      <c r="B39" s="58"/>
      <c r="C39" s="71"/>
      <c r="D39" s="72"/>
      <c r="E39" s="71"/>
      <c r="F39" s="73"/>
      <c r="G39" s="71"/>
      <c r="H39" s="73"/>
      <c r="I39" s="71"/>
      <c r="J39" s="73"/>
      <c r="K39" s="74"/>
      <c r="L39" s="75"/>
    </row>
    <row r="40" spans="2:12" ht="15">
      <c r="B40" s="58"/>
      <c r="C40" s="71"/>
      <c r="D40" s="72"/>
      <c r="E40" s="71"/>
      <c r="F40" s="73"/>
      <c r="G40" s="71"/>
      <c r="H40" s="73"/>
      <c r="I40" s="71"/>
      <c r="J40" s="73"/>
      <c r="K40" s="74"/>
      <c r="L40" s="75"/>
    </row>
    <row r="41" spans="2:12" ht="15">
      <c r="B41" s="58"/>
      <c r="C41" s="71"/>
      <c r="D41" s="72"/>
      <c r="E41" s="71"/>
      <c r="F41" s="73"/>
      <c r="G41" s="71"/>
      <c r="H41" s="73"/>
      <c r="I41" s="71"/>
      <c r="J41" s="73"/>
      <c r="K41" s="74"/>
      <c r="L41" s="75"/>
    </row>
    <row r="42" spans="2:12" ht="15">
      <c r="B42" s="58"/>
      <c r="C42" s="71"/>
      <c r="D42" s="72"/>
      <c r="E42" s="71"/>
      <c r="F42" s="73"/>
      <c r="G42" s="71"/>
      <c r="H42" s="73"/>
      <c r="I42" s="71"/>
      <c r="J42" s="73"/>
      <c r="K42" s="74"/>
      <c r="L42" s="75"/>
    </row>
    <row r="43" spans="2:12" ht="15">
      <c r="B43" s="58"/>
      <c r="C43" s="71"/>
      <c r="D43" s="72"/>
      <c r="E43" s="71"/>
      <c r="F43" s="73"/>
      <c r="G43" s="71"/>
      <c r="H43" s="73"/>
      <c r="I43" s="71"/>
      <c r="J43" s="73"/>
      <c r="K43" s="74"/>
      <c r="L43" s="75"/>
    </row>
    <row r="44" spans="2:12" ht="15">
      <c r="B44" s="58"/>
      <c r="C44" s="71"/>
      <c r="D44" s="72"/>
      <c r="E44" s="71"/>
      <c r="F44" s="73"/>
      <c r="G44" s="71"/>
      <c r="H44" s="73"/>
      <c r="I44" s="71"/>
      <c r="J44" s="73"/>
      <c r="K44" s="74"/>
      <c r="L44" s="75"/>
    </row>
    <row r="45" spans="2:12" ht="15">
      <c r="B45" s="58"/>
      <c r="C45" s="71"/>
      <c r="D45" s="72"/>
      <c r="E45" s="71"/>
      <c r="F45" s="73"/>
      <c r="G45" s="71"/>
      <c r="H45" s="73"/>
      <c r="I45" s="71"/>
      <c r="J45" s="73"/>
      <c r="K45" s="74"/>
      <c r="L45" s="75"/>
    </row>
    <row r="46" spans="2:12" ht="15">
      <c r="B46" s="58"/>
      <c r="C46" s="71"/>
      <c r="D46" s="72"/>
      <c r="E46" s="71"/>
      <c r="F46" s="73"/>
      <c r="G46" s="71"/>
      <c r="H46" s="73"/>
      <c r="I46" s="71"/>
      <c r="J46" s="73"/>
      <c r="K46" s="74"/>
      <c r="L46" s="75"/>
    </row>
    <row r="47" spans="2:12" ht="15">
      <c r="B47" s="58"/>
      <c r="C47" s="71"/>
      <c r="D47" s="72"/>
      <c r="E47" s="71"/>
      <c r="F47" s="73"/>
      <c r="G47" s="71"/>
      <c r="H47" s="73"/>
      <c r="I47" s="71"/>
      <c r="J47" s="73"/>
      <c r="K47" s="74"/>
      <c r="L47" s="75"/>
    </row>
    <row r="48" spans="2:12" ht="15">
      <c r="B48" s="58"/>
      <c r="C48" s="71"/>
      <c r="D48" s="72"/>
      <c r="E48" s="71"/>
      <c r="F48" s="73"/>
      <c r="G48" s="71"/>
      <c r="H48" s="73"/>
      <c r="I48" s="71"/>
      <c r="J48" s="73"/>
      <c r="K48" s="74"/>
      <c r="L48" s="75"/>
    </row>
    <row r="49" spans="2:12" ht="15">
      <c r="B49" s="58"/>
      <c r="C49" s="71"/>
      <c r="D49" s="72"/>
      <c r="E49" s="71"/>
      <c r="F49" s="73"/>
      <c r="G49" s="71"/>
      <c r="H49" s="73"/>
      <c r="I49" s="71"/>
      <c r="J49" s="73"/>
      <c r="K49" s="74"/>
      <c r="L49" s="75"/>
    </row>
    <row r="50" spans="2:12" ht="15">
      <c r="B50" s="58"/>
      <c r="C50" s="71"/>
      <c r="D50" s="72"/>
      <c r="E50" s="71"/>
      <c r="F50" s="73"/>
      <c r="G50" s="71"/>
      <c r="H50" s="73"/>
      <c r="I50" s="71"/>
      <c r="J50" s="73"/>
      <c r="K50" s="74"/>
      <c r="L50" s="75"/>
    </row>
    <row r="51" spans="2:12" ht="15">
      <c r="B51" s="58"/>
      <c r="C51" s="71"/>
      <c r="D51" s="72"/>
      <c r="E51" s="71"/>
      <c r="F51" s="73"/>
      <c r="G51" s="71"/>
      <c r="H51" s="73"/>
      <c r="I51" s="71"/>
      <c r="J51" s="73"/>
      <c r="K51" s="74"/>
      <c r="L51" s="75"/>
    </row>
    <row r="52" spans="2:12" ht="15">
      <c r="B52" s="58"/>
      <c r="C52" s="71"/>
      <c r="D52" s="72"/>
      <c r="E52" s="71"/>
      <c r="F52" s="73"/>
      <c r="G52" s="71"/>
      <c r="H52" s="73"/>
      <c r="I52" s="71"/>
      <c r="J52" s="73"/>
      <c r="K52" s="74"/>
      <c r="L52" s="75"/>
    </row>
    <row r="53" spans="2:12" ht="15">
      <c r="B53" s="58"/>
      <c r="C53" s="71"/>
      <c r="D53" s="72"/>
      <c r="E53" s="71"/>
      <c r="F53" s="73"/>
      <c r="G53" s="71"/>
      <c r="H53" s="73"/>
      <c r="I53" s="71"/>
      <c r="J53" s="73"/>
      <c r="K53" s="74"/>
      <c r="L53" s="75"/>
    </row>
    <row r="54" spans="2:12" ht="15">
      <c r="B54" s="58"/>
      <c r="C54" s="71"/>
      <c r="D54" s="72"/>
      <c r="E54" s="71"/>
      <c r="F54" s="73"/>
      <c r="G54" s="71"/>
      <c r="H54" s="73"/>
      <c r="I54" s="71"/>
      <c r="J54" s="73"/>
      <c r="K54" s="74"/>
      <c r="L54" s="75"/>
    </row>
    <row r="55" spans="2:12" ht="15">
      <c r="B55" s="58"/>
      <c r="C55" s="71"/>
      <c r="D55" s="72"/>
      <c r="E55" s="71"/>
      <c r="F55" s="73"/>
      <c r="G55" s="71"/>
      <c r="H55" s="73"/>
      <c r="I55" s="71"/>
      <c r="J55" s="73"/>
      <c r="K55" s="74"/>
      <c r="L55" s="75"/>
    </row>
    <row r="56" spans="2:12" ht="15">
      <c r="B56" s="58"/>
      <c r="C56" s="71"/>
      <c r="D56" s="72"/>
      <c r="E56" s="71"/>
      <c r="F56" s="73"/>
      <c r="G56" s="71"/>
      <c r="H56" s="73"/>
      <c r="I56" s="71"/>
      <c r="J56" s="73"/>
      <c r="K56" s="74"/>
      <c r="L56" s="75"/>
    </row>
    <row r="57" spans="2:12" ht="15">
      <c r="B57" s="58"/>
      <c r="C57" s="71"/>
      <c r="D57" s="72"/>
      <c r="E57" s="71"/>
      <c r="F57" s="73"/>
      <c r="G57" s="71"/>
      <c r="H57" s="73"/>
      <c r="I57" s="71"/>
      <c r="J57" s="73"/>
      <c r="K57" s="74"/>
      <c r="L57" s="75"/>
    </row>
    <row r="58" spans="2:12" ht="15">
      <c r="B58" s="58"/>
      <c r="C58" s="71"/>
      <c r="D58" s="72"/>
      <c r="E58" s="71"/>
      <c r="F58" s="73"/>
      <c r="G58" s="71"/>
      <c r="H58" s="73"/>
      <c r="I58" s="71"/>
      <c r="J58" s="73"/>
      <c r="K58" s="74"/>
      <c r="L58" s="75"/>
    </row>
    <row r="59" spans="2:12" ht="15">
      <c r="B59" s="58"/>
      <c r="C59" s="71"/>
      <c r="D59" s="72"/>
      <c r="E59" s="71"/>
      <c r="F59" s="73"/>
      <c r="G59" s="71"/>
      <c r="H59" s="73"/>
      <c r="I59" s="71"/>
      <c r="J59" s="73"/>
      <c r="K59" s="74"/>
      <c r="L59" s="75"/>
    </row>
    <row r="60" spans="2:12" ht="15">
      <c r="B60" s="58"/>
      <c r="C60" s="71"/>
      <c r="D60" s="72"/>
      <c r="E60" s="71"/>
      <c r="F60" s="73"/>
      <c r="G60" s="71"/>
      <c r="H60" s="73"/>
      <c r="I60" s="71"/>
      <c r="J60" s="73"/>
      <c r="K60" s="74"/>
      <c r="L60" s="75"/>
    </row>
    <row r="61" spans="2:12" ht="15">
      <c r="B61" s="58"/>
      <c r="C61" s="71"/>
      <c r="D61" s="72"/>
      <c r="E61" s="71"/>
      <c r="F61" s="73"/>
      <c r="G61" s="71"/>
      <c r="H61" s="73"/>
      <c r="I61" s="71"/>
      <c r="J61" s="73"/>
      <c r="K61" s="74"/>
      <c r="L61" s="75"/>
    </row>
    <row r="62" spans="2:12" ht="15">
      <c r="B62" s="58"/>
      <c r="C62" s="71"/>
      <c r="D62" s="72"/>
      <c r="E62" s="71"/>
      <c r="F62" s="73"/>
      <c r="G62" s="71"/>
      <c r="H62" s="73"/>
      <c r="I62" s="71"/>
      <c r="J62" s="73"/>
      <c r="K62" s="74"/>
      <c r="L62" s="75"/>
    </row>
    <row r="63" spans="2:12" ht="15">
      <c r="B63" s="58"/>
      <c r="C63" s="71"/>
      <c r="D63" s="72"/>
      <c r="E63" s="71"/>
      <c r="F63" s="73"/>
      <c r="G63" s="71"/>
      <c r="H63" s="73"/>
      <c r="I63" s="71"/>
      <c r="J63" s="73"/>
      <c r="K63" s="74"/>
      <c r="L63" s="75"/>
    </row>
    <row r="64" spans="2:12" ht="15">
      <c r="B64" s="58"/>
      <c r="C64" s="71"/>
      <c r="D64" s="72"/>
      <c r="E64" s="71"/>
      <c r="F64" s="73"/>
      <c r="G64" s="71"/>
      <c r="H64" s="73"/>
      <c r="I64" s="71"/>
      <c r="J64" s="73"/>
      <c r="K64" s="74"/>
      <c r="L64" s="75"/>
    </row>
    <row r="65" spans="2:12" ht="15">
      <c r="B65" s="58"/>
      <c r="C65" s="71"/>
      <c r="D65" s="72"/>
      <c r="E65" s="71"/>
      <c r="F65" s="73"/>
      <c r="G65" s="71"/>
      <c r="H65" s="73"/>
      <c r="I65" s="71"/>
      <c r="J65" s="73"/>
      <c r="K65" s="74"/>
      <c r="L65" s="75"/>
    </row>
    <row r="66" spans="2:12" ht="15">
      <c r="B66" s="58"/>
      <c r="C66" s="71"/>
      <c r="D66" s="72"/>
      <c r="E66" s="71"/>
      <c r="F66" s="73"/>
      <c r="G66" s="71"/>
      <c r="H66" s="73"/>
      <c r="I66" s="71"/>
      <c r="J66" s="73"/>
      <c r="K66" s="74"/>
      <c r="L66" s="75"/>
    </row>
    <row r="67" spans="2:12" ht="15">
      <c r="B67" s="58"/>
      <c r="C67" s="71"/>
      <c r="D67" s="72"/>
      <c r="E67" s="71"/>
      <c r="F67" s="73"/>
      <c r="G67" s="71"/>
      <c r="H67" s="73"/>
      <c r="I67" s="71"/>
      <c r="J67" s="73"/>
      <c r="K67" s="74"/>
      <c r="L67" s="75"/>
    </row>
    <row r="68" spans="2:12" ht="15">
      <c r="B68" s="58"/>
      <c r="C68" s="71"/>
      <c r="D68" s="72"/>
      <c r="E68" s="71"/>
      <c r="F68" s="73"/>
      <c r="G68" s="71"/>
      <c r="H68" s="73"/>
      <c r="I68" s="71"/>
      <c r="J68" s="73"/>
      <c r="K68" s="74"/>
      <c r="L68" s="75"/>
    </row>
    <row r="69" spans="2:12" ht="15">
      <c r="B69" s="58"/>
      <c r="C69" s="71"/>
      <c r="D69" s="72"/>
      <c r="E69" s="71"/>
      <c r="F69" s="73"/>
      <c r="G69" s="71"/>
      <c r="H69" s="73"/>
      <c r="I69" s="71"/>
      <c r="J69" s="73"/>
      <c r="K69" s="74"/>
      <c r="L69" s="75"/>
    </row>
    <row r="70" spans="2:12" ht="15">
      <c r="B70" s="58"/>
      <c r="C70" s="71"/>
      <c r="D70" s="72"/>
      <c r="E70" s="71"/>
      <c r="F70" s="73"/>
      <c r="G70" s="71"/>
      <c r="H70" s="73"/>
      <c r="I70" s="71"/>
      <c r="J70" s="73"/>
      <c r="K70" s="74"/>
      <c r="L70" s="75"/>
    </row>
    <row r="71" spans="2:12" ht="15">
      <c r="B71" s="58"/>
      <c r="C71" s="71"/>
      <c r="D71" s="72"/>
      <c r="E71" s="71"/>
      <c r="F71" s="73"/>
      <c r="G71" s="71"/>
      <c r="H71" s="73"/>
      <c r="I71" s="71"/>
      <c r="J71" s="73"/>
      <c r="K71" s="74"/>
      <c r="L71" s="75"/>
    </row>
    <row r="72" spans="2:12" ht="15">
      <c r="B72" s="58"/>
      <c r="C72" s="71"/>
      <c r="D72" s="72"/>
      <c r="E72" s="71"/>
      <c r="F72" s="73"/>
      <c r="G72" s="71"/>
      <c r="H72" s="73"/>
      <c r="I72" s="71"/>
      <c r="J72" s="73"/>
      <c r="K72" s="74"/>
      <c r="L72" s="75"/>
    </row>
    <row r="73" spans="2:12" ht="15">
      <c r="B73" s="58"/>
      <c r="C73" s="71"/>
      <c r="D73" s="72"/>
      <c r="E73" s="71"/>
      <c r="F73" s="73"/>
      <c r="G73" s="71"/>
      <c r="H73" s="73"/>
      <c r="I73" s="71"/>
      <c r="J73" s="73"/>
      <c r="K73" s="74"/>
      <c r="L73" s="75"/>
    </row>
    <row r="74" spans="2:12" ht="15">
      <c r="B74" s="58"/>
      <c r="C74" s="71"/>
      <c r="D74" s="72"/>
      <c r="E74" s="71"/>
      <c r="F74" s="73"/>
      <c r="G74" s="71"/>
      <c r="H74" s="73"/>
      <c r="I74" s="71"/>
      <c r="J74" s="73"/>
      <c r="K74" s="74"/>
      <c r="L74" s="75"/>
    </row>
    <row r="75" spans="2:12" ht="15">
      <c r="B75" s="58"/>
      <c r="C75" s="71"/>
      <c r="D75" s="72"/>
      <c r="E75" s="71"/>
      <c r="F75" s="73"/>
      <c r="G75" s="71"/>
      <c r="H75" s="73"/>
      <c r="I75" s="71"/>
      <c r="J75" s="73"/>
      <c r="K75" s="74"/>
      <c r="L75" s="75"/>
    </row>
    <row r="76" spans="2:12" ht="15">
      <c r="B76" s="58"/>
      <c r="C76" s="71"/>
      <c r="D76" s="72"/>
      <c r="E76" s="71"/>
      <c r="F76" s="73"/>
      <c r="G76" s="71"/>
      <c r="H76" s="73"/>
      <c r="I76" s="71"/>
      <c r="J76" s="73"/>
      <c r="K76" s="74"/>
      <c r="L76" s="75"/>
    </row>
    <row r="77" spans="2:12" ht="15">
      <c r="B77" s="58"/>
      <c r="C77" s="71"/>
      <c r="D77" s="72"/>
      <c r="E77" s="71"/>
      <c r="F77" s="73"/>
      <c r="G77" s="71"/>
      <c r="H77" s="73"/>
      <c r="I77" s="71"/>
      <c r="J77" s="73"/>
      <c r="K77" s="74"/>
      <c r="L77" s="75"/>
    </row>
    <row r="78" spans="2:12" ht="15">
      <c r="B78" s="58"/>
      <c r="C78" s="71"/>
      <c r="D78" s="72"/>
      <c r="E78" s="71"/>
      <c r="F78" s="73"/>
      <c r="G78" s="71"/>
      <c r="H78" s="73"/>
      <c r="I78" s="71"/>
      <c r="J78" s="73"/>
      <c r="K78" s="74"/>
      <c r="L78" s="75"/>
    </row>
    <row r="79" spans="2:12" ht="15">
      <c r="B79" s="58"/>
      <c r="C79" s="71"/>
      <c r="D79" s="72"/>
      <c r="E79" s="71"/>
      <c r="F79" s="73"/>
      <c r="G79" s="71"/>
      <c r="H79" s="73"/>
      <c r="I79" s="71"/>
      <c r="J79" s="73"/>
      <c r="K79" s="74"/>
      <c r="L79" s="75"/>
    </row>
    <row r="80" spans="2:12" ht="15">
      <c r="B80" s="58"/>
      <c r="C80" s="71"/>
      <c r="D80" s="72"/>
      <c r="E80" s="71"/>
      <c r="F80" s="73"/>
      <c r="G80" s="71"/>
      <c r="H80" s="73"/>
      <c r="I80" s="71"/>
      <c r="J80" s="73"/>
      <c r="K80" s="74"/>
      <c r="L80" s="75"/>
    </row>
    <row r="81" spans="2:12" ht="15">
      <c r="B81" s="58"/>
      <c r="C81" s="71"/>
      <c r="D81" s="72"/>
      <c r="E81" s="71"/>
      <c r="F81" s="73"/>
      <c r="G81" s="71"/>
      <c r="H81" s="73"/>
      <c r="I81" s="71"/>
      <c r="J81" s="73"/>
      <c r="K81" s="74"/>
      <c r="L81" s="75"/>
    </row>
    <row r="82" spans="2:12" ht="15">
      <c r="B82" s="58"/>
      <c r="C82" s="71"/>
      <c r="D82" s="72"/>
      <c r="E82" s="71"/>
      <c r="F82" s="73"/>
      <c r="G82" s="71"/>
      <c r="H82" s="73"/>
      <c r="I82" s="71"/>
      <c r="J82" s="73"/>
      <c r="K82" s="74"/>
      <c r="L82" s="75"/>
    </row>
    <row r="83" spans="2:12" ht="15">
      <c r="B83" s="58"/>
      <c r="C83" s="71"/>
      <c r="D83" s="72"/>
      <c r="E83" s="71"/>
      <c r="F83" s="73"/>
      <c r="G83" s="71"/>
      <c r="H83" s="73"/>
      <c r="I83" s="71"/>
      <c r="J83" s="73"/>
      <c r="K83" s="74"/>
      <c r="L83" s="75"/>
    </row>
    <row r="84" spans="2:12" ht="15">
      <c r="B84" s="58"/>
      <c r="C84" s="71"/>
      <c r="D84" s="72"/>
      <c r="E84" s="71"/>
      <c r="F84" s="73"/>
      <c r="G84" s="71"/>
      <c r="H84" s="73"/>
      <c r="I84" s="71"/>
      <c r="J84" s="73"/>
      <c r="K84" s="74"/>
      <c r="L84" s="75"/>
    </row>
    <row r="85" spans="2:12" ht="15">
      <c r="B85" s="58"/>
      <c r="C85" s="71"/>
      <c r="D85" s="72"/>
      <c r="E85" s="71"/>
      <c r="F85" s="73"/>
      <c r="G85" s="71"/>
      <c r="H85" s="73"/>
      <c r="I85" s="71"/>
      <c r="J85" s="73"/>
      <c r="K85" s="74"/>
      <c r="L85" s="75"/>
    </row>
    <row r="86" spans="2:12" ht="15">
      <c r="B86" s="58"/>
      <c r="C86" s="71"/>
      <c r="D86" s="72"/>
      <c r="E86" s="71"/>
      <c r="F86" s="73"/>
      <c r="G86" s="71"/>
      <c r="H86" s="73"/>
      <c r="I86" s="71"/>
      <c r="J86" s="73"/>
      <c r="K86" s="74"/>
      <c r="L86" s="75"/>
    </row>
    <row r="87" spans="2:12" ht="15">
      <c r="B87" s="58"/>
      <c r="C87" s="71"/>
      <c r="D87" s="72"/>
      <c r="E87" s="71"/>
      <c r="F87" s="73"/>
      <c r="G87" s="71"/>
      <c r="H87" s="73"/>
      <c r="I87" s="71"/>
      <c r="J87" s="73"/>
      <c r="K87" s="74"/>
      <c r="L87" s="75"/>
    </row>
    <row r="88" spans="2:12" ht="15">
      <c r="B88" s="58"/>
      <c r="C88" s="71"/>
      <c r="D88" s="72"/>
      <c r="E88" s="71"/>
      <c r="F88" s="73"/>
      <c r="G88" s="71"/>
      <c r="H88" s="73"/>
      <c r="I88" s="71"/>
      <c r="J88" s="73"/>
      <c r="K88" s="74"/>
      <c r="L88" s="75"/>
    </row>
    <row r="89" spans="2:12" ht="15">
      <c r="B89" s="58"/>
      <c r="C89" s="71"/>
      <c r="D89" s="72"/>
      <c r="E89" s="71"/>
      <c r="F89" s="73"/>
      <c r="G89" s="71"/>
      <c r="H89" s="73"/>
      <c r="I89" s="71"/>
      <c r="J89" s="73"/>
      <c r="K89" s="74"/>
      <c r="L89" s="75"/>
    </row>
    <row r="90" spans="2:12" ht="15">
      <c r="B90" s="58"/>
      <c r="C90" s="71"/>
      <c r="D90" s="72"/>
      <c r="E90" s="71"/>
      <c r="F90" s="73"/>
      <c r="G90" s="71"/>
      <c r="H90" s="73"/>
      <c r="I90" s="71"/>
      <c r="J90" s="73"/>
      <c r="K90" s="74"/>
      <c r="L90" s="75"/>
    </row>
    <row r="91" spans="2:12" ht="15">
      <c r="B91" s="58"/>
      <c r="C91" s="71"/>
      <c r="D91" s="72"/>
      <c r="E91" s="71"/>
      <c r="F91" s="73"/>
      <c r="G91" s="71"/>
      <c r="H91" s="73"/>
      <c r="I91" s="71"/>
      <c r="J91" s="73"/>
      <c r="K91" s="74"/>
      <c r="L91" s="75"/>
    </row>
    <row r="92" spans="2:12" ht="15">
      <c r="B92" s="58"/>
      <c r="C92" s="71"/>
      <c r="D92" s="72"/>
      <c r="E92" s="71"/>
      <c r="F92" s="73"/>
      <c r="G92" s="71"/>
      <c r="H92" s="73"/>
      <c r="I92" s="71"/>
      <c r="J92" s="73"/>
      <c r="K92" s="74"/>
      <c r="L92" s="75"/>
    </row>
    <row r="93" spans="2:12" ht="15">
      <c r="B93" s="58"/>
      <c r="C93" s="71"/>
      <c r="D93" s="72"/>
      <c r="E93" s="71"/>
      <c r="F93" s="73"/>
      <c r="G93" s="71"/>
      <c r="H93" s="73"/>
      <c r="I93" s="71"/>
      <c r="J93" s="73"/>
      <c r="K93" s="74"/>
      <c r="L93" s="75"/>
    </row>
    <row r="94" spans="2:12" ht="15">
      <c r="B94" s="58"/>
      <c r="C94" s="71"/>
      <c r="D94" s="72"/>
      <c r="E94" s="71"/>
      <c r="F94" s="73"/>
      <c r="G94" s="71"/>
      <c r="H94" s="73"/>
      <c r="I94" s="71"/>
      <c r="J94" s="73"/>
      <c r="K94" s="74"/>
      <c r="L94" s="75"/>
    </row>
    <row r="95" spans="2:12" ht="15">
      <c r="B95" s="58"/>
      <c r="C95" s="71"/>
      <c r="D95" s="72"/>
      <c r="E95" s="71"/>
      <c r="F95" s="73"/>
      <c r="G95" s="71"/>
      <c r="H95" s="73"/>
      <c r="I95" s="71"/>
      <c r="J95" s="73"/>
      <c r="K95" s="74"/>
      <c r="L95" s="75"/>
    </row>
    <row r="96" spans="2:12" ht="15">
      <c r="B96" s="58"/>
      <c r="C96" s="71"/>
      <c r="D96" s="72"/>
      <c r="E96" s="71"/>
      <c r="F96" s="73"/>
      <c r="G96" s="71"/>
      <c r="H96" s="73"/>
      <c r="I96" s="71"/>
      <c r="J96" s="73"/>
      <c r="K96" s="74"/>
      <c r="L96" s="75"/>
    </row>
    <row r="97" spans="2:12" ht="15">
      <c r="B97" s="58"/>
      <c r="C97" s="71"/>
      <c r="D97" s="72"/>
      <c r="E97" s="71"/>
      <c r="F97" s="73"/>
      <c r="G97" s="71"/>
      <c r="H97" s="73"/>
      <c r="I97" s="71"/>
      <c r="J97" s="73"/>
      <c r="K97" s="74"/>
      <c r="L97" s="75"/>
    </row>
    <row r="98" spans="2:12" ht="15">
      <c r="B98" s="58"/>
      <c r="C98" s="71"/>
      <c r="D98" s="72"/>
      <c r="E98" s="71"/>
      <c r="F98" s="73"/>
      <c r="G98" s="71"/>
      <c r="H98" s="73"/>
      <c r="I98" s="71"/>
      <c r="J98" s="73"/>
      <c r="K98" s="74"/>
      <c r="L98" s="75"/>
    </row>
    <row r="99" spans="2:12" ht="15">
      <c r="B99" s="58"/>
      <c r="C99" s="71"/>
      <c r="D99" s="72"/>
      <c r="E99" s="71"/>
      <c r="F99" s="73"/>
      <c r="G99" s="71"/>
      <c r="H99" s="73"/>
      <c r="I99" s="71"/>
      <c r="J99" s="73"/>
      <c r="K99" s="74"/>
      <c r="L99" s="75"/>
    </row>
    <row r="100" spans="2:12" ht="15">
      <c r="B100" s="58"/>
      <c r="C100" s="71"/>
      <c r="D100" s="72"/>
      <c r="E100" s="71"/>
      <c r="F100" s="73"/>
      <c r="G100" s="71"/>
      <c r="H100" s="73"/>
      <c r="I100" s="71"/>
      <c r="J100" s="73"/>
      <c r="K100" s="74"/>
      <c r="L100" s="75"/>
    </row>
    <row r="101" spans="2:12" ht="15">
      <c r="B101" s="58"/>
      <c r="C101" s="71"/>
      <c r="D101" s="72"/>
      <c r="E101" s="71"/>
      <c r="F101" s="73"/>
      <c r="G101" s="71"/>
      <c r="H101" s="73"/>
      <c r="I101" s="71"/>
      <c r="J101" s="73"/>
      <c r="K101" s="74"/>
      <c r="L101" s="75"/>
    </row>
    <row r="102" spans="2:12" ht="15">
      <c r="B102" s="58"/>
      <c r="C102" s="71"/>
      <c r="D102" s="72"/>
      <c r="E102" s="71"/>
      <c r="F102" s="73"/>
      <c r="G102" s="71"/>
      <c r="H102" s="73"/>
      <c r="I102" s="71"/>
      <c r="J102" s="73"/>
      <c r="K102" s="74"/>
      <c r="L102" s="75"/>
    </row>
    <row r="103" spans="2:12" ht="15" thickBot="1">
      <c r="B103" s="58"/>
      <c r="C103" s="71"/>
      <c r="D103" s="72"/>
      <c r="E103" s="71"/>
      <c r="F103" s="73"/>
      <c r="G103" s="71"/>
      <c r="H103" s="73"/>
      <c r="I103" s="71"/>
      <c r="J103" s="73"/>
      <c r="K103" s="74"/>
      <c r="L103" s="75"/>
    </row>
  </sheetData>
  <mergeCells count="3">
    <mergeCell ref="B1:M1"/>
    <mergeCell ref="B2:M2"/>
    <mergeCell ref="B3:M3"/>
  </mergeCells>
  <printOptions horizontalCentered="1"/>
  <pageMargins left="0.5" right="0.5" top="0.75" bottom="0.75" header="0.3" footer="0.3"/>
  <pageSetup orientation="portrait" scale="86" r:id="rId2"/>
  <ignoredErrors>
    <ignoredError sqref="K10:L14 D16:J17 K15:M17 D36:D37 D20:J27 D19 F18:F19 H18:H19 J18:J19 D35:J35 D33 F33 H33 J33:K33 E15:J15 D15 K8:K9 D30:J32 D29 G29 K19:M27 M18 K18 D28:E28 K29:M32 M28 K28 I28:I29 G28 F28 H28 J28 L28 H29 J29 K34:M35 L33:M33 K37:M37 M36 L36 K36 F36 H36 J36 J37 H37 G37 I37 D34 F34 H34 J34" formula="1"/>
  </ignoredErrors>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mc:Ignorable="x14ac" xr:uid="{1e25c739-2a11-4275-a998-41e4f1aacf4b}">
  <sheetPr>
    <tabColor rgb="FFFFFF99"/>
    <pageSetUpPr fitToPage="1"/>
  </sheetPr>
  <dimension ref="A1:U46"/>
  <sheetViews>
    <sheetView zoomScale="85" zoomScaleNormal="85" workbookViewId="0" topLeftCell="A1">
      <selection pane="topLeft" activeCell="B1" sqref="B1:P1"/>
    </sheetView>
  </sheetViews>
  <sheetFormatPr defaultRowHeight="15"/>
  <cols>
    <col min="1" max="1" width="3.125" bestFit="1" customWidth="1"/>
    <col min="2" max="2" width="34" customWidth="1"/>
    <col min="7" max="7" width="14.125" bestFit="1" customWidth="1"/>
    <col min="8" max="10" width="7.125" customWidth="1"/>
    <col min="11" max="11" width="9.125" bestFit="1" customWidth="1"/>
    <col min="12" max="12" width="8.875" bestFit="1" customWidth="1"/>
    <col min="13" max="13" width="10.25" bestFit="1" customWidth="1"/>
    <col min="14" max="14" width="12.375" bestFit="1" customWidth="1"/>
    <col min="15" max="15" width="13.625" bestFit="1" customWidth="1"/>
    <col min="16" max="17" width="9.75" bestFit="1" customWidth="1"/>
  </cols>
  <sheetData>
    <row r="1" spans="2:16" ht="21">
      <c r="B1" s="523" t="str">
        <f>Description!B4</f>
        <v>Sample Bank</v>
      </c>
      <c r="C1" s="523"/>
      <c r="D1" s="523"/>
      <c r="E1" s="523"/>
      <c r="F1" s="523"/>
      <c r="G1" s="523"/>
      <c r="H1" s="523"/>
      <c r="I1" s="523"/>
      <c r="J1" s="523"/>
      <c r="K1" s="523"/>
      <c r="L1" s="523"/>
      <c r="M1" s="523"/>
      <c r="N1" s="523"/>
      <c r="O1" s="523"/>
      <c r="P1" s="523"/>
    </row>
    <row r="2" spans="2:16" ht="21">
      <c r="B2" s="523" t="s">
        <v>179</v>
      </c>
      <c r="C2" s="523"/>
      <c r="D2" s="523"/>
      <c r="E2" s="523"/>
      <c r="F2" s="523"/>
      <c r="G2" s="523"/>
      <c r="H2" s="523"/>
      <c r="I2" s="523"/>
      <c r="J2" s="523"/>
      <c r="K2" s="523"/>
      <c r="L2" s="523"/>
      <c r="M2" s="523"/>
      <c r="N2" s="523"/>
      <c r="O2" s="523"/>
      <c r="P2" s="523"/>
    </row>
    <row r="3" spans="2:16" ht="15.75">
      <c r="B3" s="524">
        <f>Description!B2</f>
        <v>43830.0</v>
      </c>
      <c r="C3" s="524"/>
      <c r="D3" s="524"/>
      <c r="E3" s="524"/>
      <c r="F3" s="524"/>
      <c r="G3" s="524"/>
      <c r="H3" s="524"/>
      <c r="I3" s="524"/>
      <c r="J3" s="524"/>
      <c r="K3" s="524"/>
      <c r="L3" s="524"/>
      <c r="M3" s="524"/>
      <c r="N3" s="524"/>
      <c r="O3" s="524"/>
      <c r="P3" s="524"/>
    </row>
    <row r="4" spans="1:12" ht="15">
      <c r="A4" s="23"/>
      <c r="B4" s="257"/>
      <c r="E4" s="258"/>
      <c r="F4" s="258"/>
      <c r="G4" s="258"/>
      <c r="H4" s="258"/>
      <c r="I4" s="258"/>
      <c r="J4" s="258"/>
      <c r="K4" s="258"/>
      <c r="L4" s="258"/>
    </row>
    <row r="5" spans="1:18" ht="93.75" customHeight="1" thickBot="1">
      <c r="A5" s="259"/>
      <c r="B5" s="525" t="s">
        <v>206</v>
      </c>
      <c r="C5" s="525"/>
      <c r="D5" s="525"/>
      <c r="E5" s="525"/>
      <c r="F5" s="525"/>
      <c r="G5" s="525"/>
      <c r="H5" s="525"/>
      <c r="I5" s="525"/>
      <c r="J5" s="525"/>
      <c r="K5" s="525"/>
      <c r="L5" s="525"/>
      <c r="M5" s="525"/>
      <c r="N5" s="525"/>
      <c r="O5" s="525"/>
      <c r="P5" s="525"/>
      <c r="Q5" s="269"/>
      <c r="R5" s="269"/>
    </row>
    <row r="6" spans="1:18" ht="30.75" thickBot="1">
      <c r="A6" s="259"/>
      <c r="B6" s="268" t="s">
        <v>180</v>
      </c>
      <c r="C6" s="526" t="s">
        <v>204</v>
      </c>
      <c r="D6" s="527"/>
      <c r="E6" s="527"/>
      <c r="F6" s="527"/>
      <c r="G6" s="527"/>
      <c r="H6" s="527"/>
      <c r="I6" s="527"/>
      <c r="J6" s="527"/>
      <c r="K6" s="527"/>
      <c r="L6" s="527"/>
      <c r="M6" s="527"/>
      <c r="N6" s="527"/>
      <c r="O6" s="527"/>
      <c r="P6" s="528"/>
      <c r="Q6" s="260"/>
      <c r="R6" s="260"/>
    </row>
    <row r="7" ht="15.75" thickBot="1"/>
    <row r="8" spans="2:7" ht="15.75" thickBot="1">
      <c r="B8" s="261" t="s">
        <v>301</v>
      </c>
      <c r="C8" s="23" t="s">
        <v>304</v>
      </c>
      <c r="D8" s="23"/>
      <c r="E8" s="23"/>
      <c r="F8" s="23"/>
      <c r="G8" s="23"/>
    </row>
    <row r="9" spans="2:20" ht="17.25">
      <c r="B9" s="23" t="s">
        <v>286</v>
      </c>
      <c r="H9" s="456" t="s">
        <v>309</v>
      </c>
      <c r="I9" s="456"/>
      <c r="K9" s="262" t="s">
        <v>44</v>
      </c>
      <c r="L9" s="262" t="s">
        <v>143</v>
      </c>
      <c r="M9" s="270" t="s">
        <v>144</v>
      </c>
      <c r="N9" s="270" t="s">
        <v>198</v>
      </c>
      <c r="O9" s="270" t="s">
        <v>199</v>
      </c>
      <c r="P9" s="270"/>
      <c r="Q9" s="386" t="s">
        <v>234</v>
      </c>
      <c r="R9" s="386" t="s">
        <v>234</v>
      </c>
      <c r="S9" s="270"/>
      <c r="T9" s="270" t="s">
        <v>308</v>
      </c>
    </row>
    <row r="10" spans="1:21" ht="15">
      <c r="A10" s="263">
        <v>1.0</v>
      </c>
      <c r="B10" t="s">
        <v>310</v>
      </c>
      <c r="H10" s="455">
        <v>0.25</v>
      </c>
      <c r="I10" s="455"/>
      <c r="L10" s="178">
        <f>-(T10*H10)/12</f>
        <v>-1524.8333333333333</v>
      </c>
      <c r="M10" s="178">
        <f>+L10*3</f>
        <v>-4574.5</v>
      </c>
      <c r="N10" s="178">
        <f>L10*6</f>
        <v>-9149.0</v>
      </c>
      <c r="O10" s="178">
        <f>L10*12</f>
        <v>-18298.0</v>
      </c>
      <c r="P10" s="178"/>
      <c r="Q10" s="379">
        <f>-T10</f>
        <v>-73192.0</v>
      </c>
      <c r="R10" s="385">
        <f>O10/Q10</f>
        <v>0.25</v>
      </c>
      <c r="T10" s="211">
        <f>11366+1874+10553+30461+9233+9705</f>
        <v>73192.0</v>
      </c>
      <c r="U10" s="375" t="s">
        <v>313</v>
      </c>
    </row>
    <row r="11" spans="1:18" ht="15">
      <c r="A11" s="264">
        <v>2.0</v>
      </c>
      <c r="B11" s="87" t="s">
        <v>157</v>
      </c>
      <c r="H11" s="455">
        <v>0.1</v>
      </c>
      <c r="I11" s="455"/>
      <c r="L11" s="178">
        <f>(-'5 - Concentration'!D14*H11)/12</f>
        <v>-815.7416666666667</v>
      </c>
      <c r="M11" s="178">
        <f>L11*3</f>
        <v>-2447.225</v>
      </c>
      <c r="N11" s="178">
        <f>L11*6</f>
        <v>-4894.45</v>
      </c>
      <c r="O11" s="178">
        <f>L11*12</f>
        <v>-9788.9</v>
      </c>
      <c r="P11" s="178"/>
      <c r="Q11" s="178">
        <f>(-'5 - Concentration'!D14)</f>
        <v>-97889.0</v>
      </c>
      <c r="R11" s="385">
        <f>O11/Q11</f>
        <v>0.09999999999999999</v>
      </c>
    </row>
    <row r="12" spans="1:18" ht="15">
      <c r="A12" s="264">
        <v>3.0</v>
      </c>
      <c r="B12" s="87" t="s">
        <v>181</v>
      </c>
      <c r="H12" s="455">
        <v>0.1</v>
      </c>
      <c r="I12" s="455"/>
      <c r="L12" s="178">
        <f>(-'5 - Concentration'!D18*H12)/12</f>
        <v>-892.2833333333334</v>
      </c>
      <c r="M12" s="178">
        <f>+L12*3</f>
        <v>-2676.8500000000004</v>
      </c>
      <c r="N12" s="178">
        <f>L12*6</f>
        <v>-5353.700000000001</v>
      </c>
      <c r="O12" s="178">
        <f>L12*12</f>
        <v>-10707.400000000001</v>
      </c>
      <c r="P12" s="178"/>
      <c r="Q12" s="178">
        <f>(-'5 - Concentration'!D18)</f>
        <v>-107074.0</v>
      </c>
      <c r="R12" s="385">
        <f>O12/Q12</f>
        <v>0.10000000000000002</v>
      </c>
    </row>
    <row r="13" spans="1:18" ht="15">
      <c r="A13" s="264">
        <v>4.0</v>
      </c>
      <c r="B13" t="s">
        <v>182</v>
      </c>
      <c r="H13" s="455">
        <v>0.25</v>
      </c>
      <c r="I13" s="455"/>
      <c r="K13" s="178">
        <f>-' 2 - Sources &amp; Uses'!F46*H13</f>
        <v>-5500.0</v>
      </c>
      <c r="L13" s="178">
        <f>-('4 - Capacity'!I11+'4 - Capacity'!I14)*H13</f>
        <v>-5500.0</v>
      </c>
      <c r="M13" s="178">
        <f>L13</f>
        <v>-5500.0</v>
      </c>
      <c r="N13" s="178">
        <f>M13</f>
        <v>-5500.0</v>
      </c>
      <c r="O13" s="178">
        <f>N13</f>
        <v>-5500.0</v>
      </c>
      <c r="P13" s="178"/>
      <c r="Q13" s="178">
        <f>-'4 - Capacity'!I11-'4 - Capacity'!I14</f>
        <v>-22000.0</v>
      </c>
      <c r="R13" s="385">
        <f>K13/Q13</f>
        <v>0.25</v>
      </c>
    </row>
    <row r="14" spans="1:18" ht="15">
      <c r="A14" s="264">
        <v>5.0</v>
      </c>
      <c r="B14" t="s">
        <v>279</v>
      </c>
      <c r="G14" s="264"/>
      <c r="H14" s="455"/>
      <c r="I14" s="455"/>
      <c r="K14" s="178">
        <f>'4 - Capacity'!I21*H14</f>
        <v>0.0</v>
      </c>
      <c r="L14" s="178">
        <f>+'6 - Funding Gaps'!C33-'6 - Funding Gaps'!C34</f>
        <v>-7.0</v>
      </c>
      <c r="M14" s="178">
        <f>+'6 - Funding Gaps'!E33-'6 - Funding Gaps'!E34</f>
        <v>-778.0</v>
      </c>
      <c r="N14" s="178">
        <f>+'6 - Funding Gaps'!G33-'6 - Funding Gaps'!G34</f>
        <v>-1353.0</v>
      </c>
      <c r="O14" s="178">
        <f>+'6 - Funding Gaps'!I33-'6 - Funding Gaps'!I34</f>
        <v>-3288.0</v>
      </c>
      <c r="P14" s="178"/>
      <c r="R14" s="385"/>
    </row>
    <row r="15" spans="1:16" ht="15">
      <c r="A15" s="264">
        <v>6.0</v>
      </c>
      <c r="B15" t="s">
        <v>183</v>
      </c>
      <c r="H15" s="455"/>
      <c r="I15" s="455"/>
      <c r="K15" s="211">
        <v>0.0</v>
      </c>
      <c r="L15" s="211">
        <v>0.0</v>
      </c>
      <c r="M15" s="178">
        <f t="shared" si="0" ref="M15">+L15*2</f>
        <v>0.0</v>
      </c>
      <c r="N15" s="178">
        <f t="shared" si="1" ref="N15">+M15+L15</f>
        <v>0.0</v>
      </c>
      <c r="O15" s="178">
        <f t="shared" si="2" ref="O15">+N15*2</f>
        <v>0.0</v>
      </c>
      <c r="P15" s="178"/>
    </row>
    <row r="16" spans="1:16" ht="15">
      <c r="A16" s="264">
        <v>7.0</v>
      </c>
      <c r="H16" s="455"/>
      <c r="I16" s="455"/>
      <c r="K16" s="211"/>
      <c r="L16" s="211"/>
      <c r="M16" s="211"/>
      <c r="N16" s="211"/>
      <c r="O16" s="211"/>
      <c r="P16" s="178"/>
    </row>
    <row r="17" spans="1:16" ht="15">
      <c r="A17" s="264">
        <v>8.0</v>
      </c>
      <c r="H17" s="455"/>
      <c r="I17" s="455"/>
      <c r="K17" s="211"/>
      <c r="L17" s="211"/>
      <c r="M17" s="211"/>
      <c r="N17" s="211"/>
      <c r="O17" s="211"/>
      <c r="P17" s="178"/>
    </row>
    <row r="18" spans="1:16" ht="15">
      <c r="A18" s="264">
        <v>9.0</v>
      </c>
      <c r="H18" s="455"/>
      <c r="I18" s="455"/>
      <c r="K18" s="211"/>
      <c r="L18" s="211"/>
      <c r="M18" s="211"/>
      <c r="N18" s="211"/>
      <c r="O18" s="211"/>
      <c r="P18" s="178"/>
    </row>
    <row r="19" spans="1:16" ht="15">
      <c r="A19" s="264">
        <v>10.0</v>
      </c>
      <c r="H19" s="455"/>
      <c r="I19" s="455"/>
      <c r="K19" s="211"/>
      <c r="L19" s="211"/>
      <c r="M19" s="211"/>
      <c r="N19" s="211"/>
      <c r="O19" s="211"/>
      <c r="P19" s="178"/>
    </row>
    <row r="20" spans="1:16" ht="15.75" thickBot="1">
      <c r="A20" s="264">
        <v>11.0</v>
      </c>
      <c r="H20" s="455"/>
      <c r="I20" s="455"/>
      <c r="K20" s="211"/>
      <c r="L20" s="211"/>
      <c r="M20" s="211"/>
      <c r="N20" s="211"/>
      <c r="O20" s="211"/>
      <c r="P20" s="178"/>
    </row>
    <row r="21" spans="2:14" ht="15.75" thickBot="1">
      <c r="B21" s="265" t="s">
        <v>302</v>
      </c>
      <c r="C21" s="23" t="s">
        <v>303</v>
      </c>
      <c r="E21" s="23"/>
      <c r="M21" s="159"/>
      <c r="N21" s="159"/>
    </row>
    <row r="22" spans="2:16" ht="17.25">
      <c r="B22" s="23" t="s">
        <v>286</v>
      </c>
      <c r="H22" s="456" t="s">
        <v>309</v>
      </c>
      <c r="I22" s="456"/>
      <c r="K22" s="262" t="str">
        <f>+K9</f>
        <v>Current</v>
      </c>
      <c r="L22" s="262" t="str">
        <f t="shared" si="3" ref="L22:O22">+L9</f>
        <v>30 days</v>
      </c>
      <c r="M22" s="262" t="str">
        <f t="shared" si="3"/>
        <v>90 days</v>
      </c>
      <c r="N22" s="262" t="str">
        <f t="shared" si="3"/>
        <v>4-6 Months</v>
      </c>
      <c r="O22" s="262" t="str">
        <f t="shared" si="3"/>
        <v>7-12 Months</v>
      </c>
      <c r="P22" s="262"/>
    </row>
    <row r="23" spans="1:18" ht="15">
      <c r="A23" s="263">
        <v>1.0</v>
      </c>
      <c r="B23" t="s">
        <v>311</v>
      </c>
      <c r="H23" s="455">
        <v>0.5</v>
      </c>
      <c r="I23" s="455"/>
      <c r="L23" s="178">
        <f>-(T10*H23)/12</f>
        <v>-3049.6666666666665</v>
      </c>
      <c r="M23" s="178">
        <f>+L23*3</f>
        <v>-9149.0</v>
      </c>
      <c r="N23" s="178">
        <f>L23*6</f>
        <v>-18298.0</v>
      </c>
      <c r="O23" s="178">
        <f>L23*12</f>
        <v>-36596.0</v>
      </c>
      <c r="P23" s="178"/>
      <c r="Q23" s="379">
        <f>-T10</f>
        <v>-73192.0</v>
      </c>
      <c r="R23" s="385">
        <f>O23/Q23</f>
        <v>0.5</v>
      </c>
    </row>
    <row r="24" spans="1:18" ht="15">
      <c r="A24" s="264">
        <v>2.0</v>
      </c>
      <c r="B24" t="s">
        <v>184</v>
      </c>
      <c r="H24" s="455">
        <v>0.15</v>
      </c>
      <c r="I24" s="455"/>
      <c r="L24" s="178">
        <f>(-'5 - Concentration'!D14*H24)/12</f>
        <v>-1223.6125</v>
      </c>
      <c r="M24" s="178">
        <f>L24*3</f>
        <v>-3670.8374999999996</v>
      </c>
      <c r="N24" s="178">
        <f>L24*6</f>
        <v>-7341.674999999999</v>
      </c>
      <c r="O24" s="178">
        <f>L24*12</f>
        <v>-14683.349999999999</v>
      </c>
      <c r="P24" s="178"/>
      <c r="Q24" s="178">
        <f>(-'5 - Concentration'!D14)</f>
        <v>-97889.0</v>
      </c>
      <c r="R24" s="385">
        <f>O24/Q24</f>
        <v>0.15</v>
      </c>
    </row>
    <row r="25" spans="1:18" ht="15">
      <c r="A25" s="264">
        <v>3.0</v>
      </c>
      <c r="B25" t="s">
        <v>185</v>
      </c>
      <c r="H25" s="455">
        <v>0.2</v>
      </c>
      <c r="I25" s="455"/>
      <c r="L25" s="178">
        <f>(-'5 - Concentration'!D18*H25)/12</f>
        <v>-1784.5666666666668</v>
      </c>
      <c r="M25" s="178">
        <f>L25*3</f>
        <v>-5353.700000000001</v>
      </c>
      <c r="N25" s="178">
        <f>L25*6</f>
        <v>-10707.400000000001</v>
      </c>
      <c r="O25" s="178">
        <f>L25*12</f>
        <v>-21414.800000000003</v>
      </c>
      <c r="P25" s="178"/>
      <c r="Q25" s="178">
        <f>(-'5 - Concentration'!D18)</f>
        <v>-107074.0</v>
      </c>
      <c r="R25" s="385">
        <f>O25/Q25</f>
        <v>0.20000000000000004</v>
      </c>
    </row>
    <row r="26" spans="1:18" ht="15">
      <c r="A26" s="264">
        <v>4.0</v>
      </c>
      <c r="B26" t="s">
        <v>186</v>
      </c>
      <c r="H26" s="455">
        <v>0.5</v>
      </c>
      <c r="I26" s="455"/>
      <c r="K26" s="178">
        <f>-' 2 - Sources &amp; Uses'!F46*H26</f>
        <v>-11000.0</v>
      </c>
      <c r="L26" s="178">
        <f>-('4 - Capacity'!I11+'4 - Capacity'!I14)*H26</f>
        <v>-11000.0</v>
      </c>
      <c r="M26" s="178">
        <f>L26</f>
        <v>-11000.0</v>
      </c>
      <c r="N26" s="178">
        <f>M26</f>
        <v>-11000.0</v>
      </c>
      <c r="O26" s="178">
        <f>N26</f>
        <v>-11000.0</v>
      </c>
      <c r="P26" s="178"/>
      <c r="Q26" s="178">
        <f>-'4 - Capacity'!K11-'4 - Capacity'!K14</f>
        <v>-22000.0</v>
      </c>
      <c r="R26" s="385">
        <f>K26/Q26</f>
        <v>0.5</v>
      </c>
    </row>
    <row r="27" spans="1:16" ht="15">
      <c r="A27" s="264">
        <v>5.0</v>
      </c>
      <c r="B27" t="s">
        <v>279</v>
      </c>
      <c r="G27" s="264"/>
      <c r="H27" s="455"/>
      <c r="I27" s="455"/>
      <c r="K27" s="178">
        <f>+K14</f>
        <v>0.0</v>
      </c>
      <c r="L27" s="178">
        <f t="shared" si="4" ref="L27:O27">+L14</f>
        <v>-7.0</v>
      </c>
      <c r="M27" s="178">
        <f t="shared" si="4"/>
        <v>-778.0</v>
      </c>
      <c r="N27" s="178">
        <f t="shared" si="4"/>
        <v>-1353.0</v>
      </c>
      <c r="O27" s="178">
        <f t="shared" si="4"/>
        <v>-3288.0</v>
      </c>
      <c r="P27" s="178"/>
    </row>
    <row r="28" spans="1:18" ht="15">
      <c r="A28" s="264">
        <v>6.0</v>
      </c>
      <c r="B28" t="s">
        <v>276</v>
      </c>
      <c r="H28" s="455">
        <v>0.25</v>
      </c>
      <c r="I28" s="455"/>
      <c r="L28" s="178">
        <f>(-'5 - Concentration'!D19*H28)/12+(-'5 - Concentration'!D25*H28)/12</f>
        <v>-1671.4583333333333</v>
      </c>
      <c r="M28" s="178">
        <f>L28*3</f>
        <v>-5014.375</v>
      </c>
      <c r="N28" s="178">
        <f>L28*6</f>
        <v>-10028.75</v>
      </c>
      <c r="O28" s="178">
        <f>L28*12</f>
        <v>-20057.5</v>
      </c>
      <c r="P28" s="178"/>
      <c r="Q28" s="178">
        <f>(-'5 - Concentration'!D19-'5 - Concentration'!D25)</f>
        <v>-80230.0</v>
      </c>
      <c r="R28" s="385">
        <f>O28/Q28</f>
        <v>0.25</v>
      </c>
    </row>
    <row r="29" spans="1:16" ht="15">
      <c r="A29" s="264">
        <v>7.0</v>
      </c>
      <c r="B29" t="s">
        <v>183</v>
      </c>
      <c r="H29" s="455"/>
      <c r="I29" s="455"/>
      <c r="K29" s="211">
        <v>0.0</v>
      </c>
      <c r="L29" s="211">
        <v>0.0</v>
      </c>
      <c r="M29" s="178">
        <f>+L29*2</f>
        <v>0.0</v>
      </c>
      <c r="N29" s="178">
        <f t="shared" si="5" ref="N29">+M29+L29</f>
        <v>0.0</v>
      </c>
      <c r="O29" s="178">
        <f>+N29*2</f>
        <v>0.0</v>
      </c>
      <c r="P29" s="178"/>
    </row>
    <row r="30" spans="1:16" ht="15">
      <c r="A30" s="264">
        <v>8.0</v>
      </c>
      <c r="H30" s="455"/>
      <c r="I30" s="455"/>
      <c r="K30" s="211"/>
      <c r="L30" s="211"/>
      <c r="M30" s="211"/>
      <c r="N30" s="211"/>
      <c r="O30" s="211"/>
      <c r="P30" s="178"/>
    </row>
    <row r="31" spans="1:16" ht="15">
      <c r="A31" s="264">
        <v>9.0</v>
      </c>
      <c r="H31" s="455"/>
      <c r="I31" s="455"/>
      <c r="K31" s="211"/>
      <c r="L31" s="211"/>
      <c r="M31" s="211"/>
      <c r="N31" s="211"/>
      <c r="O31" s="211"/>
      <c r="P31" s="178"/>
    </row>
    <row r="32" spans="1:16" ht="15">
      <c r="A32" s="264">
        <v>10.0</v>
      </c>
      <c r="H32" s="455"/>
      <c r="I32" s="455"/>
      <c r="K32" s="211"/>
      <c r="L32" s="211"/>
      <c r="M32" s="211"/>
      <c r="N32" s="211"/>
      <c r="O32" s="211"/>
      <c r="P32" s="178"/>
    </row>
    <row r="33" spans="1:16" ht="15.75" thickBot="1">
      <c r="A33" s="264">
        <v>11.0</v>
      </c>
      <c r="H33" s="455"/>
      <c r="I33" s="455"/>
      <c r="K33" s="211"/>
      <c r="L33" s="211"/>
      <c r="M33" s="211"/>
      <c r="N33" s="211"/>
      <c r="O33" s="211"/>
      <c r="P33" s="178"/>
    </row>
    <row r="34" spans="2:14" ht="15.75" thickBot="1">
      <c r="B34" s="266" t="s">
        <v>305</v>
      </c>
      <c r="C34" s="23" t="s">
        <v>306</v>
      </c>
      <c r="E34" s="23"/>
      <c r="M34" s="159"/>
      <c r="N34" s="159"/>
    </row>
    <row r="35" spans="2:16" ht="17.25">
      <c r="B35" s="23" t="s">
        <v>287</v>
      </c>
      <c r="H35" s="456" t="s">
        <v>309</v>
      </c>
      <c r="I35" s="456"/>
      <c r="K35" s="262" t="str">
        <f>+K22</f>
        <v>Current</v>
      </c>
      <c r="L35" s="262" t="str">
        <f t="shared" si="6" ref="L35:O35">+L22</f>
        <v>30 days</v>
      </c>
      <c r="M35" s="262" t="str">
        <f t="shared" si="6"/>
        <v>90 days</v>
      </c>
      <c r="N35" s="262" t="str">
        <f t="shared" si="6"/>
        <v>4-6 Months</v>
      </c>
      <c r="O35" s="262" t="str">
        <f t="shared" si="6"/>
        <v>7-12 Months</v>
      </c>
      <c r="P35" s="262"/>
    </row>
    <row r="36" spans="1:18" ht="15">
      <c r="A36" s="263">
        <v>1.0</v>
      </c>
      <c r="B36" t="s">
        <v>312</v>
      </c>
      <c r="H36" s="455">
        <v>0.75</v>
      </c>
      <c r="I36" s="455"/>
      <c r="K36" s="178"/>
      <c r="L36" s="178">
        <f>-(T10*H36)/12</f>
        <v>-4574.5</v>
      </c>
      <c r="M36" s="178">
        <f>+L36*3</f>
        <v>-13723.5</v>
      </c>
      <c r="N36" s="178">
        <f>L36*6</f>
        <v>-27447.0</v>
      </c>
      <c r="O36" s="178">
        <f>L36*12</f>
        <v>-54894.0</v>
      </c>
      <c r="P36" s="178"/>
      <c r="Q36" s="379">
        <f>-T10</f>
        <v>-73192.0</v>
      </c>
      <c r="R36" s="385">
        <f>O36/Q36</f>
        <v>0.75</v>
      </c>
    </row>
    <row r="37" spans="1:18" ht="15">
      <c r="A37" s="264">
        <v>2.0</v>
      </c>
      <c r="B37" t="s">
        <v>187</v>
      </c>
      <c r="H37" s="455">
        <v>0.2</v>
      </c>
      <c r="I37" s="455"/>
      <c r="K37" s="178"/>
      <c r="L37" s="178">
        <f>(-'5 - Concentration'!D14*H37)/12</f>
        <v>-1631.4833333333333</v>
      </c>
      <c r="M37" s="178">
        <f>L37*3</f>
        <v>-4894.45</v>
      </c>
      <c r="N37" s="178">
        <f>L37*6</f>
        <v>-9788.9</v>
      </c>
      <c r="O37" s="178">
        <f>L37*12</f>
        <v>-19577.8</v>
      </c>
      <c r="P37" s="178"/>
      <c r="Q37" s="178">
        <f>(-'5 - Concentration'!D14)</f>
        <v>-97889.0</v>
      </c>
      <c r="R37" s="385">
        <f>O37/Q37</f>
        <v>0.19999999999999998</v>
      </c>
    </row>
    <row r="38" spans="1:18" ht="15">
      <c r="A38" s="264">
        <v>3.0</v>
      </c>
      <c r="B38" t="s">
        <v>188</v>
      </c>
      <c r="H38" s="455">
        <v>0.25</v>
      </c>
      <c r="I38" s="455"/>
      <c r="K38" s="178"/>
      <c r="L38" s="178">
        <f>(-'5 - Concentration'!D18*H38)/12</f>
        <v>-2230.7083333333335</v>
      </c>
      <c r="M38" s="178">
        <f>L38*3</f>
        <v>-6692.125</v>
      </c>
      <c r="N38" s="178">
        <f>L38*6</f>
        <v>-13384.25</v>
      </c>
      <c r="O38" s="178">
        <f>L38*12</f>
        <v>-26768.5</v>
      </c>
      <c r="P38" s="178"/>
      <c r="Q38" s="178">
        <f>(-'5 - Concentration'!D18)</f>
        <v>-107074.0</v>
      </c>
      <c r="R38" s="385">
        <f>O38/Q38</f>
        <v>0.25</v>
      </c>
    </row>
    <row r="39" spans="1:18" ht="15">
      <c r="A39" s="264">
        <v>4.0</v>
      </c>
      <c r="B39" t="s">
        <v>189</v>
      </c>
      <c r="H39" s="455">
        <v>1.0</v>
      </c>
      <c r="I39" s="455"/>
      <c r="K39" s="178">
        <f>-' 2 - Sources &amp; Uses'!F46*H39</f>
        <v>-22000.0</v>
      </c>
      <c r="L39" s="178">
        <f>-('4 - Capacity'!I11+'4 - Capacity'!I14)*H39</f>
        <v>-22000.0</v>
      </c>
      <c r="M39" s="178">
        <f>L39</f>
        <v>-22000.0</v>
      </c>
      <c r="N39" s="178">
        <f>M39</f>
        <v>-22000.0</v>
      </c>
      <c r="O39" s="178">
        <f>N39</f>
        <v>-22000.0</v>
      </c>
      <c r="P39" s="178"/>
      <c r="Q39" s="178">
        <f>-'4 - Capacity'!K11-'4 - Capacity'!K14</f>
        <v>-22000.0</v>
      </c>
      <c r="R39" s="385">
        <f>K39/Q39</f>
        <v>1.0</v>
      </c>
    </row>
    <row r="40" spans="1:16" ht="15">
      <c r="A40" s="267">
        <v>5.0</v>
      </c>
      <c r="B40" t="s">
        <v>280</v>
      </c>
      <c r="G40" s="264" t="s">
        <v>269</v>
      </c>
      <c r="H40" s="387">
        <v>-0.12</v>
      </c>
      <c r="I40" s="387"/>
      <c r="K40" s="178">
        <f>'4 - Capacity'!I21*H40</f>
        <v>-15282.599999999999</v>
      </c>
      <c r="L40" s="178">
        <f>+L27+K40</f>
        <v>-15289.599999999999</v>
      </c>
      <c r="M40" s="178">
        <f>+M27+K40</f>
        <v>-16060.599999999999</v>
      </c>
      <c r="N40" s="178">
        <f>+N27+K40</f>
        <v>-16635.6</v>
      </c>
      <c r="O40" s="178">
        <f>+O27+K40</f>
        <v>-18570.6</v>
      </c>
      <c r="P40" s="178"/>
    </row>
    <row r="41" spans="1:18" ht="15">
      <c r="A41" s="267">
        <v>6.0</v>
      </c>
      <c r="B41" t="s">
        <v>277</v>
      </c>
      <c r="H41" s="455">
        <v>0.5</v>
      </c>
      <c r="I41" s="455"/>
      <c r="L41" s="178">
        <f>(-'5 - Concentration'!D19*H41)/12+(-'5 - Concentration'!D25*H41)/12</f>
        <v>-3342.9166666666665</v>
      </c>
      <c r="M41" s="178">
        <f>L41*3</f>
        <v>-10028.75</v>
      </c>
      <c r="N41" s="178">
        <f>L41*6</f>
        <v>-20057.5</v>
      </c>
      <c r="O41" s="178">
        <f>L41*12</f>
        <v>-40115.0</v>
      </c>
      <c r="P41" s="178"/>
      <c r="Q41" s="178">
        <f>(-'5 - Concentration'!D19-'5 - Concentration'!D25)</f>
        <v>-80230.0</v>
      </c>
      <c r="R41" s="385">
        <f>O41/Q41</f>
        <v>0.5</v>
      </c>
    </row>
    <row r="42" spans="1:18" ht="15">
      <c r="A42" s="264">
        <v>7.0</v>
      </c>
      <c r="B42" t="s">
        <v>271</v>
      </c>
      <c r="H42" s="455">
        <v>0.1</v>
      </c>
      <c r="I42" s="455"/>
      <c r="L42" s="178">
        <f>(-'5 - Concentration'!D15*H42)/12+(-'5 - Concentration'!D16*H42)/12</f>
        <v>-2174.633333333333</v>
      </c>
      <c r="M42" s="178">
        <f>L42*3</f>
        <v>-6523.9</v>
      </c>
      <c r="N42" s="178">
        <f>L42*6</f>
        <v>-13047.8</v>
      </c>
      <c r="O42" s="178">
        <f>L42*12</f>
        <v>-26095.6</v>
      </c>
      <c r="P42" s="178"/>
      <c r="Q42" s="178">
        <f>-'5 - Concentration'!D15-'5 - Concentration'!D16</f>
        <v>-260956.0</v>
      </c>
      <c r="R42" s="385">
        <f>O42/Q42</f>
        <v>0.09999999999999999</v>
      </c>
    </row>
    <row r="43" spans="1:16" ht="15">
      <c r="A43" s="264">
        <v>8.0</v>
      </c>
      <c r="B43" t="s">
        <v>205</v>
      </c>
      <c r="H43" s="455"/>
      <c r="I43" s="455"/>
      <c r="K43" s="178"/>
      <c r="L43" s="178">
        <f>-'6 - Funding Gaps'!C9</f>
        <v>-3323.0</v>
      </c>
      <c r="M43" s="178">
        <f>-'6 - Funding Gaps'!E9+L43</f>
        <v>-6326.0</v>
      </c>
      <c r="N43" s="178">
        <f>-'6 - Funding Gaps'!G9+M43</f>
        <v>-8939.0</v>
      </c>
      <c r="O43" s="178">
        <f>-'6 - Funding Gaps'!I9+N43</f>
        <v>-9927.0</v>
      </c>
      <c r="P43" s="178"/>
    </row>
    <row r="44" spans="1:16" ht="15">
      <c r="A44" s="264">
        <v>9.0</v>
      </c>
      <c r="B44" t="s">
        <v>275</v>
      </c>
      <c r="H44" s="455"/>
      <c r="I44" s="455"/>
      <c r="K44" s="178">
        <f>-' 2 - Sources &amp; Uses'!F59</f>
        <v>-63283.8</v>
      </c>
      <c r="L44" s="178">
        <f>-' 2 - Sources &amp; Uses'!G59</f>
        <v>-62978.5</v>
      </c>
      <c r="M44" s="178">
        <f>-' 2 - Sources &amp; Uses'!H59</f>
        <v>-64212.8</v>
      </c>
      <c r="N44" s="178">
        <f>-' 2 - Sources &amp; Uses'!I59</f>
        <v>-65973.1</v>
      </c>
      <c r="O44" s="178">
        <f>-' 2 - Sources &amp; Uses'!J59</f>
        <v>-68599.5</v>
      </c>
      <c r="P44" s="178"/>
    </row>
    <row r="45" spans="1:18" ht="15">
      <c r="A45" s="264">
        <v>10.0</v>
      </c>
      <c r="B45" t="s">
        <v>211</v>
      </c>
      <c r="H45" s="455">
        <v>0.25</v>
      </c>
      <c r="I45" s="455"/>
      <c r="K45" s="178">
        <f>-'4 - Capacity'!I30*H45</f>
        <v>-69733.0036546875</v>
      </c>
      <c r="L45" s="178">
        <f t="shared" si="7" ref="L45:O46">+K45</f>
        <v>-69733.0036546875</v>
      </c>
      <c r="M45" s="178">
        <f t="shared" si="7"/>
        <v>-69733.0036546875</v>
      </c>
      <c r="N45" s="178">
        <f t="shared" si="7"/>
        <v>-69733.0036546875</v>
      </c>
      <c r="O45" s="178">
        <f t="shared" si="7"/>
        <v>-69733.0036546875</v>
      </c>
      <c r="P45" s="178"/>
      <c r="Q45" s="178">
        <f>-'4 - Capacity'!I30</f>
        <v>-278932.01461875</v>
      </c>
      <c r="R45" s="385">
        <f>O45/Q45</f>
        <v>0.25</v>
      </c>
    </row>
    <row r="46" spans="1:18" ht="15" thickBot="1">
      <c r="A46" s="264">
        <v>11.0</v>
      </c>
      <c r="B46" t="s">
        <v>288</v>
      </c>
      <c r="H46" s="455">
        <v>0.25</v>
      </c>
      <c r="I46" s="455"/>
      <c r="K46" s="178">
        <f>-'4 - Capacity'!I40*H46</f>
        <v>-843.00276875</v>
      </c>
      <c r="L46" s="178">
        <f t="shared" si="7"/>
        <v>-843.00276875</v>
      </c>
      <c r="M46" s="178">
        <f t="shared" si="7"/>
        <v>-843.00276875</v>
      </c>
      <c r="N46" s="178">
        <f t="shared" si="7"/>
        <v>-843.00276875</v>
      </c>
      <c r="O46" s="178">
        <f t="shared" si="7"/>
        <v>-843.00276875</v>
      </c>
      <c r="P46" s="178"/>
      <c r="Q46" s="178">
        <f>-'4 - Capacity'!I40</f>
        <v>-3372.011075</v>
      </c>
      <c r="R46" s="385">
        <f>O46/Q46</f>
        <v>0.25</v>
      </c>
    </row>
  </sheetData>
  <mergeCells count="5">
    <mergeCell ref="B1:P1"/>
    <mergeCell ref="B2:P2"/>
    <mergeCell ref="B3:P3"/>
    <mergeCell ref="B5:P5"/>
    <mergeCell ref="C6:P6"/>
  </mergeCells>
  <printOptions horizontalCentered="1"/>
  <pageMargins left="0.45" right="0.45" top="0.75" bottom="0.75" header="0.3" footer="0.3"/>
  <pageSetup horizontalDpi="1200" verticalDpi="1200" orientation="portrait" scale="56" r:id="rId2"/>
  <ignoredErrors>
    <ignoredError sqref="N15 M27:O27 N45:O45 Q43 M11:O11 M29:O29 M24:O24 N37:O37" formula="1"/>
  </ignoredErrors>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r="http://schemas.microsoft.com/office/spreadsheetml/2014/revision" xmlns:x14ac="http://schemas.microsoft.com/office/spreadsheetml/2009/9/ac" mc:Ignorable="x14ac" xr:uid="{b4fb9894-e2ff-4105-a40d-bd853d2436ad}">
  <sheetPr>
    <tabColor rgb="FFFFFF99"/>
    <pageSetUpPr fitToPage="1"/>
  </sheetPr>
  <dimension ref="A1:AE54"/>
  <sheetViews>
    <sheetView zoomScale="85" zoomScaleNormal="85" workbookViewId="0" topLeftCell="A1">
      <selection pane="topLeft" activeCell="V27" sqref="V27"/>
    </sheetView>
  </sheetViews>
  <sheetFormatPr defaultColWidth="9.145" defaultRowHeight="15"/>
  <cols>
    <col min="1" max="1" width="15.625" style="34" customWidth="1"/>
    <col min="2" max="2" width="4.125" style="33" customWidth="1"/>
    <col min="3" max="3" width="4.375" style="33" customWidth="1"/>
    <col min="4" max="6" width="9.75" style="34" customWidth="1"/>
    <col min="7" max="7" width="47.25" style="34" customWidth="1"/>
    <col min="8" max="8" width="9.75" style="34" customWidth="1"/>
    <col min="9" max="13" width="9.75" style="32" customWidth="1"/>
    <col min="14" max="14" width="9.125" style="34"/>
    <col min="15" max="15" width="19.375" style="34" customWidth="1"/>
    <col min="16" max="16384" width="9.125" style="34"/>
  </cols>
  <sheetData>
    <row r="1" spans="1:13" ht="21">
      <c r="A1" s="225"/>
      <c r="B1" s="486" t="str">
        <f>Description!B4</f>
        <v>Sample Bank</v>
      </c>
      <c r="C1" s="495"/>
      <c r="D1" s="495"/>
      <c r="E1" s="495"/>
      <c r="F1" s="495"/>
      <c r="G1" s="495"/>
      <c r="H1" s="495"/>
      <c r="I1" s="495"/>
      <c r="J1" s="495"/>
      <c r="K1" s="495"/>
      <c r="L1" s="495"/>
      <c r="M1" s="487"/>
    </row>
    <row r="2" spans="2:13" ht="21">
      <c r="B2" s="488" t="s">
        <v>195</v>
      </c>
      <c r="C2" s="496"/>
      <c r="D2" s="496"/>
      <c r="E2" s="496"/>
      <c r="F2" s="496"/>
      <c r="G2" s="496"/>
      <c r="H2" s="496"/>
      <c r="I2" s="496"/>
      <c r="J2" s="496"/>
      <c r="K2" s="496"/>
      <c r="L2" s="496"/>
      <c r="M2" s="489"/>
    </row>
    <row r="3" spans="2:13" ht="16.5" thickBot="1">
      <c r="B3" s="490">
        <f>Description!B2</f>
        <v>43830.0</v>
      </c>
      <c r="C3" s="500"/>
      <c r="D3" s="500"/>
      <c r="E3" s="500"/>
      <c r="F3" s="500"/>
      <c r="G3" s="500"/>
      <c r="H3" s="500"/>
      <c r="I3" s="500"/>
      <c r="J3" s="500"/>
      <c r="K3" s="500"/>
      <c r="L3" s="500"/>
      <c r="M3" s="501"/>
    </row>
    <row r="4" spans="2:13" ht="21">
      <c r="B4" s="226"/>
      <c r="C4" s="223"/>
      <c r="D4" s="223"/>
      <c r="E4" s="284"/>
      <c r="F4" s="284"/>
      <c r="G4" s="284"/>
      <c r="H4" s="223"/>
      <c r="I4" s="223"/>
      <c r="J4" s="223"/>
      <c r="K4" s="223"/>
      <c r="L4" s="223"/>
      <c r="M4" s="223"/>
    </row>
    <row r="5" spans="2:16" ht="23.25">
      <c r="B5" s="529" t="s">
        <v>307</v>
      </c>
      <c r="C5" s="530"/>
      <c r="D5" s="530"/>
      <c r="E5" s="530"/>
      <c r="F5" s="530"/>
      <c r="G5" s="531"/>
      <c r="K5" s="227"/>
      <c r="L5" s="227"/>
      <c r="M5" s="227"/>
      <c r="P5" s="256"/>
    </row>
    <row r="6" spans="2:3" ht="15" customHeight="1">
      <c r="B6" s="263"/>
      <c r="C6" s="352" t="str">
        <f ca="1">IF(ISNA(VLOOKUP($B6,INDIRECT($R$11),2,FALSE))," ",VLOOKUP($B6,INDIRECT($R$11),2,FALSE))</f>
        <v xml:space="preserve"> </v>
      </c>
    </row>
    <row r="7" spans="8:15" s="130" customFormat="1" ht="30.75" customHeight="1">
      <c r="H7" s="276" t="s">
        <v>24</v>
      </c>
      <c r="I7" s="131" t="s">
        <v>44</v>
      </c>
      <c r="J7" s="131" t="str">
        <f>+'1 - Summary'!H5</f>
        <v>30 days</v>
      </c>
      <c r="K7" s="131" t="str">
        <f>+'1 - Summary'!I5</f>
        <v>90 days</v>
      </c>
      <c r="L7" s="131" t="str">
        <f>+'1 - Summary'!J5</f>
        <v>4-6 Months</v>
      </c>
      <c r="M7" s="131" t="str">
        <f>+'1 - Summary'!K5</f>
        <v>7-12 Months</v>
      </c>
      <c r="O7" s="131"/>
    </row>
    <row r="8" spans="9:13" s="132" customFormat="1" ht="9" customHeight="1">
      <c r="I8" s="133"/>
      <c r="J8" s="133"/>
      <c r="K8" s="133"/>
      <c r="L8" s="133"/>
      <c r="M8" s="133"/>
    </row>
    <row r="9" spans="2:13" ht="15">
      <c r="B9" s="33" t="str">
        <f>+' 2 - Sources &amp; Uses'!B7</f>
        <v>Projected total assets</v>
      </c>
      <c r="D9" s="33"/>
      <c r="E9" s="33"/>
      <c r="F9" s="33"/>
      <c r="G9" s="33"/>
      <c r="H9" s="33"/>
      <c r="I9" s="32">
        <f>+' 2 - Sources &amp; Uses'!F7</f>
        <v>732108.0</v>
      </c>
      <c r="J9" s="32">
        <f>+' 2 - Sources &amp; Uses'!G7</f>
        <v>729055.0</v>
      </c>
      <c r="K9" s="32">
        <f>+' 2 - Sources &amp; Uses'!H7</f>
        <v>741398.0</v>
      </c>
      <c r="L9" s="32">
        <f>+' 2 - Sources &amp; Uses'!I7</f>
        <v>759001.0</v>
      </c>
      <c r="M9" s="32">
        <f>+' 2 - Sources &amp; Uses'!J7</f>
        <v>785265.0</v>
      </c>
    </row>
    <row r="11" spans="2:18" ht="18.75">
      <c r="B11" s="134" t="s">
        <v>123</v>
      </c>
      <c r="R11" s="354" t="str">
        <f>VLOOKUP(B5,O13:R16,4,FALSE)</f>
        <v>'Stress Scenarios'!A10:O20</v>
      </c>
    </row>
    <row r="12" ht="9" customHeight="1"/>
    <row r="13" spans="2:18" ht="15">
      <c r="B13" s="33" t="str">
        <f>+' 2 - Sources &amp; Uses'!B11</f>
        <v>A)</v>
      </c>
      <c r="C13" s="33" t="str">
        <f>+' 2 - Sources &amp; Uses'!C11</f>
        <v>Beginning Cash Position</v>
      </c>
      <c r="D13" s="33"/>
      <c r="E13" s="33"/>
      <c r="F13" s="33"/>
      <c r="G13" s="33"/>
      <c r="H13" s="33"/>
      <c r="I13" s="32">
        <f>+' 2 - Sources &amp; Uses'!F11</f>
        <v>10700.0</v>
      </c>
      <c r="J13" s="32">
        <f>+' 2 - Sources &amp; Uses'!G11</f>
        <v>10700.0</v>
      </c>
      <c r="K13" s="32">
        <f>+' 2 - Sources &amp; Uses'!H11</f>
        <v>5280.0</v>
      </c>
      <c r="L13" s="32">
        <f>+' 2 - Sources &amp; Uses'!I11</f>
        <v>5427.0</v>
      </c>
      <c r="M13" s="32">
        <f>+' 2 - Sources &amp; Uses'!J11</f>
        <v>5432.0</v>
      </c>
      <c r="O13" s="34" t="str">
        <f>+'Stress Scenarios'!B8&amp;" "&amp;'Stress Scenarios'!C8</f>
        <v>Scenario A  (Moderate Stress)  High Probability, Low Impact</v>
      </c>
      <c r="R13" s="347" t="s">
        <v>289</v>
      </c>
    </row>
    <row r="14" spans="2:18" ht="15">
      <c r="B14" s="33" t="str">
        <f>+' 2 - Sources &amp; Uses'!B24</f>
        <v>B)</v>
      </c>
      <c r="C14" s="33" t="str">
        <f>+' 2 - Sources &amp; Uses'!C24</f>
        <v>Total Sources of Funds</v>
      </c>
      <c r="D14" s="33"/>
      <c r="E14" s="33"/>
      <c r="F14" s="33"/>
      <c r="G14" s="33"/>
      <c r="H14" s="33"/>
      <c r="I14" s="32">
        <f>+' 2 - Sources &amp; Uses'!F24</f>
        <v>0.0</v>
      </c>
      <c r="J14" s="32">
        <f>+' 2 - Sources &amp; Uses'!G24</f>
        <v>7481.0</v>
      </c>
      <c r="K14" s="32">
        <f>+' 2 - Sources &amp; Uses'!H24</f>
        <v>32118.0</v>
      </c>
      <c r="L14" s="32">
        <f>+' 2 - Sources &amp; Uses'!I24</f>
        <v>38284.0</v>
      </c>
      <c r="M14" s="32">
        <f>+' 2 - Sources &amp; Uses'!J24</f>
        <v>63895.0</v>
      </c>
      <c r="O14" s="34" t="str">
        <f>+'Stress Scenarios'!B21&amp;" "&amp;'Stress Scenarios'!C21</f>
        <v>Scenario B  (Severe Stress)  Lower Probabilty, Higher Impact</v>
      </c>
      <c r="R14" s="347" t="s">
        <v>290</v>
      </c>
    </row>
    <row r="15" spans="4:18" ht="15">
      <c r="D15" s="33"/>
      <c r="E15" s="33"/>
      <c r="F15" s="33"/>
      <c r="G15" s="33"/>
      <c r="H15" s="33"/>
      <c r="O15" s="34" t="str">
        <f>+'Stress Scenarios'!B34&amp;" "&amp;'Stress Scenarios'!C34</f>
        <v>Scenario C  (Extreme Stress)   Low Probability, High Impact</v>
      </c>
      <c r="R15" s="347" t="s">
        <v>278</v>
      </c>
    </row>
    <row r="16" spans="2:13" ht="15">
      <c r="B16" s="33" t="str">
        <f>+' 2 - Sources &amp; Uses'!B37</f>
        <v>C)</v>
      </c>
      <c r="C16" s="33" t="str">
        <f>+' 2 - Sources &amp; Uses'!C37</f>
        <v>Total Uses of Funds</v>
      </c>
      <c r="D16" s="33"/>
      <c r="E16" s="33"/>
      <c r="F16" s="33"/>
      <c r="G16" s="33"/>
      <c r="H16" s="33"/>
      <c r="I16" s="32">
        <f>+' 2 - Sources &amp; Uses'!F37</f>
        <v>0.0</v>
      </c>
      <c r="J16" s="32">
        <f>+' 2 - Sources &amp; Uses'!G37</f>
        <v>12901.0</v>
      </c>
      <c r="K16" s="32">
        <f>+' 2 - Sources &amp; Uses'!H37</f>
        <v>31971.0</v>
      </c>
      <c r="L16" s="32">
        <f>+' 2 - Sources &amp; Uses'!I37</f>
        <v>38279.0</v>
      </c>
      <c r="M16" s="32">
        <f>+' 2 - Sources &amp; Uses'!J37</f>
        <v>63785.0</v>
      </c>
    </row>
    <row r="17" spans="2:18" ht="15">
      <c r="B17" s="104" t="str">
        <f>+' 2 - Sources &amp; Uses'!B39</f>
        <v>D)</v>
      </c>
      <c r="C17" s="135" t="str">
        <f>+' 2 - Sources &amp; Uses'!C39</f>
        <v>Projected Cash Flow (B - C)</v>
      </c>
      <c r="D17" s="136"/>
      <c r="E17" s="136"/>
      <c r="F17" s="136"/>
      <c r="G17" s="136"/>
      <c r="H17" s="136"/>
      <c r="I17" s="137">
        <f>+' 2 - Sources &amp; Uses'!F39</f>
        <v>0.0</v>
      </c>
      <c r="J17" s="137">
        <f>+' 2 - Sources &amp; Uses'!G39</f>
        <v>-5420.0</v>
      </c>
      <c r="K17" s="137">
        <f>+' 2 - Sources &amp; Uses'!H39</f>
        <v>147.0</v>
      </c>
      <c r="L17" s="137">
        <f>+' 2 - Sources &amp; Uses'!I39</f>
        <v>5.0</v>
      </c>
      <c r="M17" s="138">
        <f>+' 2 - Sources &amp; Uses'!J39</f>
        <v>110.0</v>
      </c>
      <c r="R17" s="354"/>
    </row>
    <row r="18" spans="1:14" ht="15">
      <c r="A18" s="176"/>
      <c r="B18" s="104" t="str">
        <f>+' 2 - Sources &amp; Uses'!B43</f>
        <v>E)</v>
      </c>
      <c r="C18" s="135" t="str">
        <f>+' 2 - Sources &amp; Uses'!C43</f>
        <v>Ending Cash Position</v>
      </c>
      <c r="D18" s="136"/>
      <c r="E18" s="136"/>
      <c r="F18" s="136"/>
      <c r="G18" s="136"/>
      <c r="H18" s="136"/>
      <c r="I18" s="137">
        <f>+' 2 - Sources &amp; Uses'!F43</f>
        <v>10700.0</v>
      </c>
      <c r="J18" s="137">
        <f>+' 2 - Sources &amp; Uses'!G43</f>
        <v>5280.0</v>
      </c>
      <c r="K18" s="137">
        <f>+' 2 - Sources &amp; Uses'!H43</f>
        <v>5427.0</v>
      </c>
      <c r="L18" s="137">
        <f>+' 2 - Sources &amp; Uses'!I43</f>
        <v>5432.0</v>
      </c>
      <c r="M18" s="138">
        <f>+' 2 - Sources &amp; Uses'!J43</f>
        <v>5542.0</v>
      </c>
      <c r="N18" s="176"/>
    </row>
    <row r="19" spans="2:18" ht="15">
      <c r="B19" s="33" t="str">
        <f>+' 2 - Sources &amp; Uses'!B52</f>
        <v>G)</v>
      </c>
      <c r="C19" s="33" t="str">
        <f>+' 2 - Sources &amp; Uses'!C52</f>
        <v>Total Other Sources of Operating Liquidity</v>
      </c>
      <c r="D19" s="33"/>
      <c r="E19" s="33"/>
      <c r="F19" s="33"/>
      <c r="G19" s="33"/>
      <c r="H19" s="33"/>
      <c r="I19" s="32">
        <f>+' 2 - Sources &amp; Uses'!F52</f>
        <v>71698.79999999999</v>
      </c>
      <c r="J19" s="32">
        <f>+' 2 - Sources &amp; Uses'!G52</f>
        <v>64816.5</v>
      </c>
      <c r="K19" s="32">
        <f>+' 2 - Sources &amp; Uses'!H52</f>
        <v>39867.799999999996</v>
      </c>
      <c r="L19" s="32">
        <f>+' 2 - Sources &amp; Uses'!I52</f>
        <v>33357.09999999999</v>
      </c>
      <c r="M19" s="32">
        <f>+' 2 - Sources &amp; Uses'!J52</f>
        <v>52138.5</v>
      </c>
      <c r="R19" s="347"/>
    </row>
    <row r="20" spans="2:18" ht="18.75">
      <c r="B20" s="93" t="str">
        <f>+' 2 - Sources &amp; Uses'!B54</f>
        <v>H)</v>
      </c>
      <c r="C20" s="94" t="str">
        <f>+' 2 - Sources &amp; Uses'!C54</f>
        <v>Total Operating Liquidity   (E + G)</v>
      </c>
      <c r="D20" s="95"/>
      <c r="E20" s="95"/>
      <c r="F20" s="95"/>
      <c r="G20" s="95"/>
      <c r="H20" s="384"/>
      <c r="I20" s="96">
        <f>+' 2 - Sources &amp; Uses'!F54</f>
        <v>82398.79999999999</v>
      </c>
      <c r="J20" s="96">
        <f>+' 2 - Sources &amp; Uses'!G54</f>
        <v>70096.5</v>
      </c>
      <c r="K20" s="96">
        <f>+' 2 - Sources &amp; Uses'!H54</f>
        <v>45294.799999999996</v>
      </c>
      <c r="L20" s="96">
        <f>+' 2 - Sources &amp; Uses'!I54</f>
        <v>38789.09999999999</v>
      </c>
      <c r="M20" s="97">
        <f>+' 2 - Sources &amp; Uses'!J54</f>
        <v>57680.5</v>
      </c>
      <c r="R20" s="347"/>
    </row>
    <row r="21" spans="2:18" ht="15">
      <c r="B21" s="141"/>
      <c r="C21" s="142" t="str">
        <f>+' 2 - Sources &amp; Uses'!C55</f>
        <v>Operating Liquidity % of Assets</v>
      </c>
      <c r="D21" s="143"/>
      <c r="E21" s="143"/>
      <c r="F21" s="143"/>
      <c r="G21" s="143"/>
      <c r="H21" s="275">
        <f>' 2 - Sources &amp; Uses'!E55</f>
        <v>0.2</v>
      </c>
      <c r="I21" s="144">
        <f>+' 2 - Sources &amp; Uses'!F55</f>
        <v>0.11255006091997354</v>
      </c>
      <c r="J21" s="144">
        <f>+' 2 - Sources &amp; Uses'!G55</f>
        <v>0.09614706709370349</v>
      </c>
      <c r="K21" s="144">
        <f>+' 2 - Sources &amp; Uses'!H55</f>
        <v>0.061093771496551104</v>
      </c>
      <c r="L21" s="144">
        <f>+' 2 - Sources &amp; Uses'!I55</f>
        <v>0.05110546626420781</v>
      </c>
      <c r="M21" s="145">
        <f>+' 2 - Sources &amp; Uses'!J55</f>
        <v>0.07345354752854132</v>
      </c>
      <c r="R21" s="347"/>
    </row>
    <row r="22" spans="9:31" ht="15">
      <c r="I22" s="146"/>
      <c r="J22" s="146"/>
      <c r="K22" s="146"/>
      <c r="L22" s="146"/>
      <c r="M22" s="146"/>
      <c r="O22" s="348"/>
      <c r="P22" s="348"/>
      <c r="Q22" s="348"/>
      <c r="R22" s="348"/>
      <c r="S22" s="348"/>
      <c r="T22" s="348"/>
      <c r="U22" s="348"/>
      <c r="V22" s="348"/>
      <c r="W22" s="348"/>
      <c r="X22" s="348"/>
      <c r="Y22"/>
      <c r="Z22" s="349"/>
      <c r="AA22"/>
      <c r="AB22"/>
      <c r="AC22" s="350"/>
      <c r="AD22" s="350"/>
      <c r="AE22" s="350"/>
    </row>
    <row r="23" spans="2:2" ht="18.75">
      <c r="B23" s="134" t="str">
        <f>+' 2 - Sources &amp; Uses'!B57</f>
        <v xml:space="preserve">Secondary (Contingent) Liquidity </v>
      </c>
    </row>
    <row r="24" spans="2:13" ht="18.75">
      <c r="B24" s="134"/>
      <c r="D24" s="34" t="str">
        <f>+' 2 - Sources &amp; Uses'!D58</f>
        <v>Liquid Buffer Available (deducted above)</v>
      </c>
      <c r="I24" s="32">
        <f>+' 2 - Sources &amp; Uses'!F58</f>
        <v>36605.4</v>
      </c>
      <c r="J24" s="32">
        <f>+' 2 - Sources &amp; Uses'!G58</f>
        <v>36452.75</v>
      </c>
      <c r="K24" s="32">
        <f>+' 2 - Sources &amp; Uses'!H58</f>
        <v>37069.9</v>
      </c>
      <c r="L24" s="32">
        <f>+' 2 - Sources &amp; Uses'!I58</f>
        <v>37950.05</v>
      </c>
      <c r="M24" s="32">
        <f>+' 2 - Sources &amp; Uses'!J58</f>
        <v>39263.25</v>
      </c>
    </row>
    <row r="25" spans="4:13" ht="15">
      <c r="D25" s="34" t="str">
        <f>+' 2 - Sources &amp; Uses'!D59</f>
        <v>Brokered CD Available (per policy)</v>
      </c>
      <c r="H25" s="208">
        <f>+' 2 - Sources &amp; Uses'!E59</f>
        <v>0.1</v>
      </c>
      <c r="I25" s="32">
        <f>+' 2 - Sources &amp; Uses'!F59</f>
        <v>63283.8</v>
      </c>
      <c r="J25" s="32">
        <f>+' 2 - Sources &amp; Uses'!G59</f>
        <v>62978.5</v>
      </c>
      <c r="K25" s="32">
        <f>+' 2 - Sources &amp; Uses'!H59</f>
        <v>64212.8</v>
      </c>
      <c r="L25" s="32">
        <f>+' 2 - Sources &amp; Uses'!I59</f>
        <v>65973.1</v>
      </c>
      <c r="M25" s="32">
        <f>+' 2 - Sources &amp; Uses'!J59</f>
        <v>68599.5</v>
      </c>
    </row>
    <row r="26" spans="4:13" ht="15">
      <c r="D26" s="34" t="str">
        <f>+' 2 - Sources &amp; Uses'!D60</f>
        <v>Loan Collateral Available @ FHLB Over Policy</v>
      </c>
      <c r="H26" s="140"/>
      <c r="I26" s="32">
        <f>+' 2 - Sources &amp; Uses'!F60</f>
        <v>169115.81461875</v>
      </c>
      <c r="J26" s="32">
        <f>+' 2 - Sources &amp; Uses'!G60</f>
        <v>175744.76461875</v>
      </c>
      <c r="K26" s="32">
        <f>+' 2 - Sources &amp; Uses'!H60</f>
        <v>199475.31461875</v>
      </c>
      <c r="L26" s="32">
        <f>+' 2 - Sources &amp; Uses'!I60</f>
        <v>204317.86461875</v>
      </c>
      <c r="M26" s="32">
        <f>+' 2 - Sources &amp; Uses'!J60</f>
        <v>182964.26461875</v>
      </c>
    </row>
    <row r="27" spans="4:13" ht="15">
      <c r="D27" s="34" t="str">
        <f>+' 2 - Sources &amp; Uses'!D61</f>
        <v>Fed Discount Window</v>
      </c>
      <c r="H27" s="140"/>
      <c r="I27" s="32">
        <f>+' 2 - Sources &amp; Uses'!F61</f>
        <v>3372.011075</v>
      </c>
      <c r="J27" s="273">
        <f>+I27</f>
        <v>3372.011075</v>
      </c>
      <c r="K27" s="273">
        <f t="shared" si="0" ref="K27:M27">+J27</f>
        <v>3372.011075</v>
      </c>
      <c r="L27" s="273">
        <f t="shared" si="0"/>
        <v>3372.011075</v>
      </c>
      <c r="M27" s="273">
        <f t="shared" si="0"/>
        <v>3372.011075</v>
      </c>
    </row>
    <row r="28" spans="2:13" ht="15">
      <c r="B28" s="104" t="s">
        <v>79</v>
      </c>
      <c r="C28" s="135" t="s">
        <v>77</v>
      </c>
      <c r="D28" s="136"/>
      <c r="E28" s="136"/>
      <c r="F28" s="136"/>
      <c r="G28" s="136"/>
      <c r="H28" s="136"/>
      <c r="I28" s="137">
        <f>SUM(I24:I27)</f>
        <v>272377.02569375</v>
      </c>
      <c r="J28" s="137">
        <f>SUM(J24:J27)</f>
        <v>278548.02569374995</v>
      </c>
      <c r="K28" s="137">
        <f>SUM(K24:K27)</f>
        <v>304130.02569375</v>
      </c>
      <c r="L28" s="137">
        <f>SUM(L24:L27)</f>
        <v>311613.02569375</v>
      </c>
      <c r="M28" s="138">
        <f>SUM(M24:M27)</f>
        <v>294199.02569374995</v>
      </c>
    </row>
    <row r="30" spans="2:13" ht="18.75">
      <c r="B30" s="147" t="s">
        <v>145</v>
      </c>
      <c r="C30" s="148"/>
      <c r="D30" s="95"/>
      <c r="E30" s="95"/>
      <c r="F30" s="95"/>
      <c r="G30" s="95"/>
      <c r="H30" s="95"/>
      <c r="I30" s="96">
        <f>+I20+I28</f>
        <v>354775.82569375</v>
      </c>
      <c r="J30" s="96">
        <f>+J20+J28</f>
        <v>348644.52569374995</v>
      </c>
      <c r="K30" s="96">
        <f>+K20+K28</f>
        <v>349424.82569375</v>
      </c>
      <c r="L30" s="96">
        <f>+L20+L28</f>
        <v>350402.12569375</v>
      </c>
      <c r="M30" s="97">
        <f>+M20+M28</f>
        <v>351879.52569374995</v>
      </c>
    </row>
    <row r="31" spans="2:13" ht="15">
      <c r="B31" s="141"/>
      <c r="C31" s="142" t="s">
        <v>59</v>
      </c>
      <c r="D31" s="143"/>
      <c r="E31" s="143"/>
      <c r="F31" s="143"/>
      <c r="G31" s="143"/>
      <c r="H31" s="275">
        <f>+'1 - Summary'!E16</f>
        <v>0.3</v>
      </c>
      <c r="I31" s="144">
        <f>+I30/I9</f>
        <v>0.48459493093061407</v>
      </c>
      <c r="J31" s="144">
        <f>+J30/J9</f>
        <v>0.4782142989126334</v>
      </c>
      <c r="K31" s="144">
        <f>+K30/K9</f>
        <v>0.47130532547127185</v>
      </c>
      <c r="L31" s="144">
        <f>+L30/L9</f>
        <v>0.46166227145122335</v>
      </c>
      <c r="M31" s="145">
        <f>+M30/M9</f>
        <v>0.4481029024517201</v>
      </c>
    </row>
    <row r="33" spans="2:15" ht="18.75">
      <c r="B33" s="134" t="s">
        <v>156</v>
      </c>
      <c r="O33" s="34" t="s">
        <v>191</v>
      </c>
    </row>
    <row r="35" spans="2:13" ht="15">
      <c r="B35" s="263">
        <v>1.0</v>
      </c>
      <c r="C35" s="352" t="str">
        <f ca="1" t="shared" si="1" ref="C35:C45">IF(ISNA(VLOOKUP($B35,INDIRECT($R$11),2,FALSE))," ",VLOOKUP($B35,INDIRECT($R$11),2,FALSE))</f>
        <v>Unfunded commitments fund at a 25%</v>
      </c>
      <c r="D35" s="352"/>
      <c r="E35" s="352"/>
      <c r="F35" s="352"/>
      <c r="G35" s="352"/>
      <c r="H35" s="352"/>
      <c r="I35" s="175">
        <f ca="1" t="shared" si="2" ref="I35:I44">IF(ISNA(VLOOKUP($B35,INDIRECT($R$11),11,FALSE))," ",VLOOKUP($B35,INDIRECT($R$11),11,FALSE))</f>
        <v>0.0</v>
      </c>
      <c r="J35" s="175">
        <f ca="1" t="shared" si="3" ref="J35:J45">IF(ISNA(VLOOKUP($B35,INDIRECT($R$11),12,FALSE))," ",VLOOKUP($B35,INDIRECT($R$11),12,FALSE))</f>
        <v>-1524.8333333333333</v>
      </c>
      <c r="K35" s="175">
        <f ca="1" t="shared" si="4" ref="K35:K45">IF(ISNA(VLOOKUP($B35,INDIRECT($R$11),13,FALSE))," ",VLOOKUP($B35,INDIRECT($R$11),13,FALSE))</f>
        <v>-4574.5</v>
      </c>
      <c r="L35" s="175">
        <f ca="1" t="shared" si="5" ref="L35:L45">IF(ISNA(VLOOKUP($B35,INDIRECT($R$11),14,FALSE))," ",VLOOKUP($B35,INDIRECT($R$11),14,FALSE))</f>
        <v>-9149.0</v>
      </c>
      <c r="M35" s="175">
        <f ca="1" t="shared" si="6" ref="M35:M45">IF(ISNA(VLOOKUP($B35,INDIRECT($R$11),15,FALSE))," ",VLOOKUP($B35,INDIRECT($R$11),15,FALSE))</f>
        <v>-18298.0</v>
      </c>
    </row>
    <row r="36" spans="2:13" ht="15">
      <c r="B36" s="263">
        <v>2.0</v>
      </c>
      <c r="C36" s="352" t="str">
        <f t="shared" ca="1" si="1"/>
        <v>Demand Deposit Balances decline by 10%</v>
      </c>
      <c r="D36" s="352"/>
      <c r="E36" s="352"/>
      <c r="F36" s="352"/>
      <c r="G36" s="352"/>
      <c r="H36" s="352"/>
      <c r="I36" s="175">
        <f t="shared" ca="1" si="2"/>
        <v>0.0</v>
      </c>
      <c r="J36" s="175">
        <f t="shared" ca="1" si="3"/>
        <v>-815.7416666666667</v>
      </c>
      <c r="K36" s="175">
        <f t="shared" ca="1" si="4"/>
        <v>-2447.225</v>
      </c>
      <c r="L36" s="175">
        <f t="shared" ca="1" si="5"/>
        <v>-4894.45</v>
      </c>
      <c r="M36" s="175">
        <f t="shared" ca="1" si="6"/>
        <v>-9788.9</v>
      </c>
    </row>
    <row r="37" spans="2:13" ht="15">
      <c r="B37" s="263">
        <v>3.0</v>
      </c>
      <c r="C37" s="352" t="str">
        <f t="shared" ca="1" si="1"/>
        <v>Core time deposits reduced by 10%</v>
      </c>
      <c r="D37" s="352"/>
      <c r="E37" s="352"/>
      <c r="F37" s="352"/>
      <c r="G37" s="352"/>
      <c r="H37" s="352"/>
      <c r="I37" s="175">
        <f t="shared" ca="1" si="2"/>
        <v>0.0</v>
      </c>
      <c r="J37" s="175">
        <f t="shared" ca="1" si="3"/>
        <v>-892.2833333333334</v>
      </c>
      <c r="K37" s="175">
        <f t="shared" ca="1" si="4"/>
        <v>-2676.8500000000004</v>
      </c>
      <c r="L37" s="175">
        <f t="shared" ca="1" si="5"/>
        <v>-5353.700000000001</v>
      </c>
      <c r="M37" s="175">
        <f t="shared" ca="1" si="6"/>
        <v>-10707.400000000001</v>
      </c>
    </row>
    <row r="38" spans="2:19" ht="15">
      <c r="B38" s="263">
        <v>4.0</v>
      </c>
      <c r="C38" s="352" t="str">
        <f t="shared" ca="1" si="1"/>
        <v>Uncollateralized lines (i.e., Fed Funds) reduced by 25%</v>
      </c>
      <c r="D38" s="352"/>
      <c r="E38" s="352"/>
      <c r="F38" s="352"/>
      <c r="G38" s="352"/>
      <c r="H38" s="352"/>
      <c r="I38" s="175">
        <f t="shared" ca="1" si="2"/>
        <v>-5500.0</v>
      </c>
      <c r="J38" s="175">
        <f t="shared" ca="1" si="3"/>
        <v>-5500.0</v>
      </c>
      <c r="K38" s="175">
        <f t="shared" ca="1" si="4"/>
        <v>-5500.0</v>
      </c>
      <c r="L38" s="175">
        <f t="shared" ca="1" si="5"/>
        <v>-5500.0</v>
      </c>
      <c r="M38" s="175">
        <f t="shared" ca="1" si="6"/>
        <v>-5500.0</v>
      </c>
      <c r="S38" s="388"/>
    </row>
    <row r="39" spans="2:13" ht="15">
      <c r="B39" s="263">
        <v>5.0</v>
      </c>
      <c r="C39" s="352" t="str">
        <f t="shared" ca="1" si="1"/>
        <v>Securities liquidity reduced to +300bps levels.</v>
      </c>
      <c r="D39" s="352"/>
      <c r="E39" s="352"/>
      <c r="F39" s="352"/>
      <c r="G39" s="352"/>
      <c r="H39" s="352"/>
      <c r="I39" s="175">
        <f t="shared" ca="1" si="2"/>
        <v>0.0</v>
      </c>
      <c r="J39" s="175">
        <f t="shared" ca="1" si="3"/>
        <v>-7.0</v>
      </c>
      <c r="K39" s="175">
        <f t="shared" ca="1" si="4"/>
        <v>-778.0</v>
      </c>
      <c r="L39" s="175">
        <f t="shared" ca="1" si="5"/>
        <v>-1353.0</v>
      </c>
      <c r="M39" s="175">
        <f t="shared" ca="1" si="6"/>
        <v>-3288.0</v>
      </c>
    </row>
    <row r="40" spans="2:13" ht="15">
      <c r="B40" s="263">
        <v>6.0</v>
      </c>
      <c r="C40" s="352" t="str">
        <f t="shared" ca="1" si="1"/>
        <v>Other (insert other incremental stress event(s) here)</v>
      </c>
      <c r="D40" s="352"/>
      <c r="E40" s="352"/>
      <c r="F40" s="352"/>
      <c r="G40" s="352"/>
      <c r="H40" s="352"/>
      <c r="I40" s="175">
        <f t="shared" ca="1" si="2"/>
        <v>0.0</v>
      </c>
      <c r="J40" s="175">
        <f t="shared" ca="1" si="3"/>
        <v>0.0</v>
      </c>
      <c r="K40" s="175">
        <f t="shared" ca="1" si="4"/>
        <v>0.0</v>
      </c>
      <c r="L40" s="175">
        <f t="shared" ca="1" si="5"/>
        <v>0.0</v>
      </c>
      <c r="M40" s="175">
        <f t="shared" ca="1" si="6"/>
        <v>0.0</v>
      </c>
    </row>
    <row r="41" spans="2:13" ht="15">
      <c r="B41" s="263">
        <v>7.0</v>
      </c>
      <c r="C41" s="352">
        <f ca="1">IF(ISNA(VLOOKUP($B41,INDIRECT($R$11),2,FALSE))," ",VLOOKUP($B41,INDIRECT($R$11),2,FALSE))</f>
        <v>0.0</v>
      </c>
      <c r="D41" s="352"/>
      <c r="E41" s="352"/>
      <c r="F41" s="352"/>
      <c r="G41" s="352"/>
      <c r="H41" s="352"/>
      <c r="I41" s="175">
        <f t="shared" ca="1" si="2"/>
        <v>0.0</v>
      </c>
      <c r="J41" s="175">
        <f t="shared" ca="1" si="3"/>
        <v>0.0</v>
      </c>
      <c r="K41" s="175">
        <f t="shared" ca="1" si="4"/>
        <v>0.0</v>
      </c>
      <c r="L41" s="175">
        <f t="shared" ca="1" si="5"/>
        <v>0.0</v>
      </c>
      <c r="M41" s="175">
        <f t="shared" ca="1" si="6"/>
        <v>0.0</v>
      </c>
    </row>
    <row r="42" spans="2:13" ht="15">
      <c r="B42" s="263">
        <v>8.0</v>
      </c>
      <c r="C42" s="352">
        <f t="shared" ca="1" si="1"/>
        <v>0.0</v>
      </c>
      <c r="D42" s="352"/>
      <c r="E42" s="352"/>
      <c r="F42" s="352"/>
      <c r="G42" s="352"/>
      <c r="H42" s="352"/>
      <c r="I42" s="175">
        <f t="shared" ca="1" si="2"/>
        <v>0.0</v>
      </c>
      <c r="J42" s="175">
        <f t="shared" ca="1" si="3"/>
        <v>0.0</v>
      </c>
      <c r="K42" s="175">
        <f t="shared" ca="1" si="4"/>
        <v>0.0</v>
      </c>
      <c r="L42" s="175">
        <f t="shared" ca="1" si="5"/>
        <v>0.0</v>
      </c>
      <c r="M42" s="175">
        <f t="shared" ca="1" si="6"/>
        <v>0.0</v>
      </c>
    </row>
    <row r="43" spans="2:15" ht="15">
      <c r="B43" s="263">
        <v>9.0</v>
      </c>
      <c r="C43" s="352">
        <f t="shared" ca="1" si="1"/>
        <v>0.0</v>
      </c>
      <c r="D43" s="352"/>
      <c r="E43" s="352"/>
      <c r="F43" s="352"/>
      <c r="G43" s="352"/>
      <c r="H43" s="352"/>
      <c r="I43" s="175">
        <f t="shared" ca="1" si="2"/>
        <v>0.0</v>
      </c>
      <c r="J43" s="175">
        <f t="shared" ca="1" si="3"/>
        <v>0.0</v>
      </c>
      <c r="K43" s="175">
        <f t="shared" ca="1" si="4"/>
        <v>0.0</v>
      </c>
      <c r="L43" s="175">
        <f t="shared" ca="1" si="5"/>
        <v>0.0</v>
      </c>
      <c r="M43" s="175">
        <f t="shared" ca="1" si="6"/>
        <v>0.0</v>
      </c>
      <c r="O43" s="389"/>
    </row>
    <row r="44" spans="2:15" ht="15">
      <c r="B44" s="263">
        <v>10.0</v>
      </c>
      <c r="C44" s="352">
        <f t="shared" ca="1" si="1"/>
        <v>0.0</v>
      </c>
      <c r="D44" s="352"/>
      <c r="E44" s="352"/>
      <c r="F44" s="352"/>
      <c r="G44" s="352"/>
      <c r="H44" s="352"/>
      <c r="I44" s="175">
        <f t="shared" ca="1" si="2"/>
        <v>0.0</v>
      </c>
      <c r="J44" s="175">
        <f t="shared" ca="1" si="3"/>
        <v>0.0</v>
      </c>
      <c r="K44" s="175">
        <f t="shared" ca="1" si="4"/>
        <v>0.0</v>
      </c>
      <c r="L44" s="175">
        <f t="shared" ca="1" si="5"/>
        <v>0.0</v>
      </c>
      <c r="M44" s="175">
        <f t="shared" ca="1" si="6"/>
        <v>0.0</v>
      </c>
      <c r="O44" s="389"/>
    </row>
    <row r="45" spans="2:15" ht="15.75" thickBot="1">
      <c r="B45" s="346">
        <v>11.0</v>
      </c>
      <c r="C45" s="351">
        <f t="shared" ca="1" si="1"/>
        <v>0.0</v>
      </c>
      <c r="D45" s="351"/>
      <c r="E45" s="351"/>
      <c r="F45" s="351"/>
      <c r="G45" s="351"/>
      <c r="H45" s="351"/>
      <c r="I45" s="353">
        <f ca="1">IF(ISNA(VLOOKUP($B45,INDIRECT($R$11),11,FALSE))," ",VLOOKUP($B45,INDIRECT($R$11),11,FALSE))</f>
        <v>0.0</v>
      </c>
      <c r="J45" s="353">
        <f t="shared" ca="1" si="3"/>
        <v>0.0</v>
      </c>
      <c r="K45" s="353">
        <f t="shared" ca="1" si="4"/>
        <v>0.0</v>
      </c>
      <c r="L45" s="353">
        <f t="shared" ca="1" si="5"/>
        <v>0.0</v>
      </c>
      <c r="M45" s="353">
        <f t="shared" ca="1" si="6"/>
        <v>0.0</v>
      </c>
      <c r="O45" s="389"/>
    </row>
    <row r="46" spans="2:13" ht="15.75" thickTop="1">
      <c r="B46" s="173"/>
      <c r="C46" s="173" t="s">
        <v>160</v>
      </c>
      <c r="D46" s="174"/>
      <c r="E46" s="174"/>
      <c r="F46" s="174"/>
      <c r="G46" s="174"/>
      <c r="H46" s="174"/>
      <c r="I46" s="175">
        <f ca="1">SUM(I35:I45)</f>
        <v>-5500.0</v>
      </c>
      <c r="J46" s="175">
        <f ca="1">SUM(J35:J45)</f>
        <v>-8739.858333333334</v>
      </c>
      <c r="K46" s="175">
        <f ca="1">SUM(K35:K45)</f>
        <v>-15976.575</v>
      </c>
      <c r="L46" s="175">
        <f ca="1">SUM(L35:L45)</f>
        <v>-26250.15</v>
      </c>
      <c r="M46" s="175">
        <f ca="1">SUM(M35:M45)</f>
        <v>-47582.3</v>
      </c>
    </row>
    <row r="48" spans="2:13" ht="18.75">
      <c r="B48" s="134" t="s">
        <v>158</v>
      </c>
      <c r="I48" s="177">
        <f ca="1">+I20+I46-I43-I45</f>
        <v>76898.79999999999</v>
      </c>
      <c r="J48" s="177">
        <f ca="1">+J20+J46-J43-J45</f>
        <v>61356.64166666666</v>
      </c>
      <c r="K48" s="177">
        <f ca="1">+K20+K46-K43-K45</f>
        <v>29318.224999999995</v>
      </c>
      <c r="L48" s="177">
        <f ca="1">+L20+L46-L43-L45</f>
        <v>12538.94999999999</v>
      </c>
      <c r="M48" s="177">
        <f ca="1">+M20+M46-M43-M45</f>
        <v>10098.199999999997</v>
      </c>
    </row>
    <row r="49" spans="4:13" ht="15">
      <c r="D49" s="34" t="str">
        <f>+'3 - Early Warning'!H8</f>
        <v>Level 1</v>
      </c>
      <c r="E49" s="34" t="str">
        <f>+'3 - Early Warning'!I8</f>
        <v>Level 2</v>
      </c>
      <c r="F49" s="34" t="str">
        <f>+'3 - Early Warning'!J8</f>
        <v>Level 3</v>
      </c>
      <c r="G49" s="355" t="s">
        <v>24</v>
      </c>
      <c r="H49" s="181">
        <f>+'1 - Summary'!E13</f>
        <v>0.2</v>
      </c>
      <c r="I49" s="179">
        <f ca="1">+I48/I9</f>
        <v>0.10503750812721618</v>
      </c>
      <c r="J49" s="179">
        <f ca="1">+J48/J9</f>
        <v>0.08415913979969504</v>
      </c>
      <c r="K49" s="179">
        <f ca="1">+K48/K9</f>
        <v>0.039544515901041</v>
      </c>
      <c r="L49" s="179">
        <f ca="1">+L48/L9</f>
        <v>0.01652033396530438</v>
      </c>
      <c r="M49" s="179">
        <f ca="1">+M48/M9</f>
        <v>0.012859607903064566</v>
      </c>
    </row>
    <row r="50" spans="4:13" ht="15">
      <c r="D50" s="92">
        <f>'3 - Early Warning'!H14</f>
        <v>0.2</v>
      </c>
      <c r="E50" s="92">
        <f>'3 - Early Warning'!I14</f>
        <v>0.15</v>
      </c>
      <c r="F50" s="92">
        <f>'3 - Early Warning'!J14</f>
        <v>0.1</v>
      </c>
      <c r="H50" s="355" t="s">
        <v>201</v>
      </c>
      <c r="I50" s="280" t="str">
        <f ca="1">IF(I49&lt;$F$50,$F$49,IF(I49&lt;$E$50,$E$49,IF(I49&lt;$D$50,$D$49,"")))</f>
        <v>Level 2</v>
      </c>
      <c r="J50" s="280" t="str">
        <f ca="1">IF(J49&lt;$F$50,$F$49,IF(J49&lt;$E$50,$E$49,IF(J49&lt;$D$50,$D$49,"")))</f>
        <v>Level 3</v>
      </c>
      <c r="K50" s="280" t="str">
        <f ca="1">IF(K49&lt;$F$50,$F$49,IF(K49&lt;$E$50,$E$49,IF(K49&lt;$D$50,$D$49,"")))</f>
        <v>Level 3</v>
      </c>
      <c r="L50" s="280" t="str">
        <f ca="1">IF(L49&lt;$F$50,$F$49,IF(L49&lt;$E$50,$E$49,IF(L49&lt;$D$50,$D$49,"")))</f>
        <v>Level 3</v>
      </c>
      <c r="M50" s="280" t="str">
        <f ca="1">IF(M49&lt;$F$50,$F$49,IF(M49&lt;$E$50,$E$49,IF(M49&lt;$D$50,$D$49,"")))</f>
        <v>Level 3</v>
      </c>
    </row>
    <row r="51" spans="8:8" ht="15">
      <c r="H51" s="180"/>
    </row>
    <row r="52" spans="2:13" ht="18.75">
      <c r="B52" s="134" t="s">
        <v>159</v>
      </c>
      <c r="H52" s="180"/>
      <c r="I52" s="122">
        <f ca="1">+I30+I46</f>
        <v>349275.82569375</v>
      </c>
      <c r="J52" s="122">
        <f ca="1">+J30+J46</f>
        <v>339904.6673604166</v>
      </c>
      <c r="K52" s="122">
        <f ca="1">+K30+K46</f>
        <v>333448.25069375</v>
      </c>
      <c r="L52" s="122">
        <f ca="1">+L30+L46</f>
        <v>324151.97569374996</v>
      </c>
      <c r="M52" s="122">
        <f ca="1">+M30+M46</f>
        <v>304297.22569374996</v>
      </c>
    </row>
    <row r="53" spans="4:13" ht="15">
      <c r="D53" s="34" t="str">
        <f>+D49</f>
        <v>Level 1</v>
      </c>
      <c r="E53" s="34" t="str">
        <f>+E49</f>
        <v>Level 2</v>
      </c>
      <c r="F53" s="34" t="str">
        <f>+F49</f>
        <v>Level 3</v>
      </c>
      <c r="H53" s="181">
        <f>+'1 - Summary'!E16</f>
        <v>0.3</v>
      </c>
      <c r="I53" s="179">
        <f ca="1">+I52/I9</f>
        <v>0.4770823781378567</v>
      </c>
      <c r="J53" s="179">
        <f ca="1">+J52/J9</f>
        <v>0.46622637161862496</v>
      </c>
      <c r="K53" s="179">
        <f ca="1">+K52/K9</f>
        <v>0.4497560698757617</v>
      </c>
      <c r="L53" s="179">
        <f ca="1">+L52/L9</f>
        <v>0.42707713915231993</v>
      </c>
      <c r="M53" s="179">
        <f ca="1">+M52/M9</f>
        <v>0.3875089628262433</v>
      </c>
    </row>
    <row r="54" spans="4:13" ht="15">
      <c r="D54" s="92">
        <f>'3 - Early Warning'!H16</f>
        <v>0.3</v>
      </c>
      <c r="E54" s="92">
        <f>'3 - Early Warning'!I16</f>
        <v>0.25</v>
      </c>
      <c r="F54" s="92">
        <f>'3 - Early Warning'!J16</f>
        <v>0.2</v>
      </c>
      <c r="H54" s="355" t="s">
        <v>201</v>
      </c>
      <c r="I54" s="280" t="str">
        <f ca="1">IF(I53&lt;$F$54,$F$53,IF(I53&lt;$E$54,$E$53,IF(I53&lt;$D$54,$D$53,"")))</f>
        <v/>
      </c>
      <c r="J54" s="280" t="str">
        <f ca="1">IF(J53&lt;$F$54,$F$53,IF(J53&lt;$E$54,$E$53,IF(J53&lt;$D$54,$D$53,"")))</f>
        <v/>
      </c>
      <c r="K54" s="280" t="str">
        <f ca="1">IF(K53&lt;$F$54,$F$53,IF(K53&lt;$E$54,$E$53,IF(K53&lt;$D$54,$D$53,"")))</f>
        <v/>
      </c>
      <c r="L54" s="280" t="str">
        <f ca="1">IF(L53&lt;$F$54,$F$53,IF(L53&lt;$E$54,$E$53,IF(L53&lt;$D$54,$D$53,"")))</f>
        <v/>
      </c>
      <c r="M54" s="280" t="str">
        <f ca="1">IF(M53&lt;$F$54,$F$53,IF(M53&lt;$E$54,$E$53,IF(M53&lt;$D$54,$D$53,"")))</f>
        <v/>
      </c>
    </row>
  </sheetData>
  <mergeCells count="4">
    <mergeCell ref="B5:G5"/>
    <mergeCell ref="B1:M1"/>
    <mergeCell ref="B2:M2"/>
    <mergeCell ref="B3:M3"/>
  </mergeCells>
  <conditionalFormatting sqref="B5">
    <cfRule type="cellIs" priority="10" dxfId="5" operator="equal">
      <formula>$O$15</formula>
    </cfRule>
    <cfRule type="cellIs" priority="11" dxfId="4" operator="equal">
      <formula>$O$14</formula>
    </cfRule>
    <cfRule type="cellIs" priority="12" dxfId="3" operator="equal">
      <formula>$O$13</formula>
    </cfRule>
  </conditionalFormatting>
  <conditionalFormatting sqref="I50:M50 I54:M54">
    <cfRule type="cellIs" priority="7" dxfId="2" operator="equal">
      <formula>"Level 3"</formula>
    </cfRule>
    <cfRule type="cellIs" priority="8" dxfId="1" operator="equal">
      <formula>"Level 2"</formula>
    </cfRule>
  </conditionalFormatting>
  <conditionalFormatting sqref="I50:M50 I54:M54">
    <cfRule type="cellIs" priority="1" dxfId="0" operator="equal">
      <formula>"Level 1"</formula>
    </cfRule>
  </conditionalFormatting>
  <dataValidations count="1">
    <dataValidation type="list" allowBlank="1" showInputMessage="1" showErrorMessage="1" sqref="B5">
      <formula1>$O$13:$O$16</formula1>
    </dataValidation>
  </dataValidations>
  <printOptions horizontalCentered="1"/>
  <pageMargins left="0.5" right="0.5" top="0.25" bottom="0.25" header="0.3" footer="0.3"/>
  <pageSetup orientation="portrait" scale="67" r:id="rId2"/>
  <drawing r:id="rId1"/>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rId1" Type="http://schemas.openxmlformats.org/officeDocument/2006/relationships/customXmlProps" Target="itemProps4.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A18B3DECBC354F8E6DF90C340D5AAB" ma:contentTypeVersion="0" ma:contentTypeDescription="Create a new document." ma:contentTypeScope="" ma:versionID="7b4c46ca47823a0c91b33078c73d1537">
  <xsd:schema xmlns:xsd="http://www.w3.org/2001/XMLSchema" xmlns:xs="http://www.w3.org/2001/XMLSchema" xmlns:p="http://schemas.microsoft.com/office/2006/metadata/properties" xmlns:ns2="c34ec760-22fc-4b91-8512-dc7f17bfb616" targetNamespace="http://schemas.microsoft.com/office/2006/metadata/properties" ma:root="true" ma:fieldsID="311d1951767c0c8fcaa036b9c98b1c94" ns2:_="">
    <xsd:import namespace="c34ec760-22fc-4b91-8512-dc7f17bfb61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4ec760-22fc-4b91-8512-dc7f17bfb61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4ACA535-5648-462F-A2B6-1CC03C87B0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4ec760-22fc-4b91-8512-dc7f17bfb6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1E2266-4B2B-4A48-A125-E4CD469520AE}">
  <ds:schemaRefs>
    <ds:schemaRef ds:uri="http://schemas.microsoft.com/sharepoint/events"/>
  </ds:schemaRefs>
</ds:datastoreItem>
</file>

<file path=customXml/itemProps3.xml><?xml version="1.0" encoding="utf-8"?>
<ds:datastoreItem xmlns:ds="http://schemas.openxmlformats.org/officeDocument/2006/customXml" ds:itemID="{11DCB210-6F53-422A-B520-7F2E419CBE0E}">
  <ds:schemaRefs>
    <ds:schemaRef ds:uri="http://schemas.microsoft.com/sharepoint/v3/contenttype/forms"/>
  </ds:schemaRefs>
</ds:datastoreItem>
</file>

<file path=customXml/itemProps4.xml><?xml version="1.0" encoding="utf-8"?>
<ds:datastoreItem xmlns:ds="http://schemas.openxmlformats.org/officeDocument/2006/customXml" ds:itemID="{25A3FFA0-3B2F-439D-B6BB-DFE605C905A8}">
  <ds:schemaRefs>
    <ds:schemaRef ds:uri="http://purl.org/dc/terms/"/>
    <ds:schemaRef ds:uri="http://schemas.openxmlformats.org/package/2006/metadata/core-properties"/>
    <ds:schemaRef ds:uri="http://schemas.microsoft.com/office/2006/documentManagement/types"/>
    <ds:schemaRef ds:uri="c34ec760-22fc-4b91-8512-dc7f17bfb616"/>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9</vt:i4>
      </vt:variant>
    </vt:vector>
  </HeadingPairs>
  <TitlesOfParts>
    <vt:vector size="9" baseType="lpstr">
      <vt:lpstr>Description</vt:lpstr>
      <vt:lpstr>1 - Summary</vt:lpstr>
      <vt:lpstr> 2 - Sources &amp; Uses</vt:lpstr>
      <vt:lpstr>3 - Early Warning</vt:lpstr>
      <vt:lpstr>4 - Capacity</vt:lpstr>
      <vt:lpstr>5 - Concentration</vt:lpstr>
      <vt:lpstr>6 - Funding Gaps</vt:lpstr>
      <vt:lpstr>Stress Scenarios</vt:lpstr>
      <vt:lpstr>Liquidity Stress Test</vt:lpstr>
    </vt:vector>
  </TitlesOfParts>
  <Template/>
  <Manager/>
  <Company>Vining Sparks</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Wade Oliver</dc:creator>
  <cp:keywords/>
  <dc:description/>
  <cp:lastModifiedBy>Stifel</cp:lastModifiedBy>
  <cp:lastPrinted>2020-02-28T23:01:16Z</cp:lastPrinted>
  <dcterms:created xsi:type="dcterms:W3CDTF">2009-08-03T14:19:50Z</dcterms:created>
  <dcterms:modified xsi:type="dcterms:W3CDTF">2022-05-31T19:55:30Z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0x010100EBA18B3DECBC354F8E6DF90C340D5AAB</vt:lpwstr>
  </property>
</Properties>
</file>